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onnorambrose/Desktop/"/>
    </mc:Choice>
  </mc:AlternateContent>
  <xr:revisionPtr revIDLastSave="0" documentId="8_{4B660A0E-FBD8-0146-AD05-C720231731A2}" xr6:coauthVersionLast="47" xr6:coauthVersionMax="47" xr10:uidLastSave="{00000000-0000-0000-0000-000000000000}"/>
  <workbookProtection workbookAlgorithmName="SHA-512" workbookHashValue="JB2oVzmX2Tmhx8RglzfNjFk7Cz70h6O6FiX2iCuRYcJc44O8hj7xhfxkhiRAxr18QKrEx+GMJdifvjEcs+9JSA==" workbookSaltValue="p5Fj88qBDx58+ela6ZhJ1A==" workbookSpinCount="100000" lockStructure="1"/>
  <bookViews>
    <workbookView xWindow="0" yWindow="740" windowWidth="29400" windowHeight="17140" xr2:uid="{B8CC35F1-F903-2846-8BD2-094D4A7A0850}"/>
  </bookViews>
  <sheets>
    <sheet name="Master Model" sheetId="7" r:id="rId1"/>
    <sheet name="Test Model" sheetId="6" state="hidden" r:id="rId2"/>
    <sheet name="Model (1 Year)" sheetId="3" state="hidden" r:id="rId3"/>
    <sheet name="Model (3 Year Example)" sheetId="1" state="hidden" r:id="rId4"/>
    <sheet name="Background - Yes" sheetId="2" state="hidden" r:id="rId5"/>
    <sheet name="Background - No" sheetId="4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7" l="1"/>
  <c r="D8" i="7"/>
  <c r="D10" i="7" s="1"/>
  <c r="D30" i="7" s="1"/>
  <c r="L10" i="2"/>
  <c r="I9" i="4"/>
  <c r="D17" i="6"/>
  <c r="D8" i="6"/>
  <c r="D10" i="6" s="1"/>
  <c r="D26" i="6" s="1"/>
  <c r="L5" i="4"/>
  <c r="D17" i="3"/>
  <c r="J21" i="4"/>
  <c r="I21" i="4"/>
  <c r="J20" i="4"/>
  <c r="I20" i="4"/>
  <c r="I23" i="4" s="1"/>
  <c r="I12" i="4"/>
  <c r="L10" i="4"/>
  <c r="K10" i="4"/>
  <c r="J10" i="4"/>
  <c r="I11" i="4"/>
  <c r="I7" i="4"/>
  <c r="K5" i="4"/>
  <c r="J5" i="4"/>
  <c r="I4" i="4"/>
  <c r="D26" i="7" l="1"/>
  <c r="D24" i="7"/>
  <c r="D31" i="7"/>
  <c r="D33" i="7"/>
  <c r="D23" i="7"/>
  <c r="D33" i="6"/>
  <c r="D31" i="6"/>
  <c r="D24" i="6"/>
  <c r="D23" i="6"/>
  <c r="I6" i="4"/>
  <c r="D30" i="6"/>
  <c r="D8" i="3"/>
  <c r="D10" i="3" s="1"/>
  <c r="D31" i="3" s="1"/>
  <c r="J21" i="2"/>
  <c r="I21" i="2"/>
  <c r="J20" i="2"/>
  <c r="I20" i="2"/>
  <c r="I23" i="2" s="1"/>
  <c r="K10" i="2"/>
  <c r="K5" i="2"/>
  <c r="D8" i="1"/>
  <c r="D10" i="1" s="1"/>
  <c r="I12" i="2"/>
  <c r="J10" i="2"/>
  <c r="I9" i="2"/>
  <c r="I11" i="2" s="1"/>
  <c r="I7" i="2"/>
  <c r="J5" i="2"/>
  <c r="I4" i="2"/>
  <c r="I6" i="2" s="1"/>
  <c r="D34" i="7" l="1"/>
  <c r="D32" i="7"/>
  <c r="D35" i="7" s="1"/>
  <c r="D25" i="7"/>
  <c r="D28" i="7" s="1"/>
  <c r="D27" i="7"/>
  <c r="D32" i="6"/>
  <c r="D35" i="6" s="1"/>
  <c r="D34" i="6"/>
  <c r="D25" i="6"/>
  <c r="D28" i="6" s="1"/>
  <c r="D27" i="6"/>
  <c r="D30" i="1"/>
  <c r="G30" i="1" s="1"/>
  <c r="J30" i="1" s="1"/>
  <c r="D33" i="3"/>
  <c r="D24" i="3"/>
  <c r="D30" i="3"/>
  <c r="D26" i="3"/>
  <c r="D23" i="3"/>
  <c r="D23" i="1"/>
  <c r="G23" i="1" s="1"/>
  <c r="J23" i="1" s="1"/>
  <c r="D32" i="1"/>
  <c r="G32" i="1" s="1"/>
  <c r="J32" i="1" s="1"/>
  <c r="D29" i="1"/>
  <c r="D25" i="1"/>
  <c r="G25" i="1" s="1"/>
  <c r="J25" i="1" s="1"/>
  <c r="D22" i="1"/>
  <c r="D32" i="3" l="1"/>
  <c r="D35" i="3" s="1"/>
  <c r="D34" i="3"/>
  <c r="D25" i="3"/>
  <c r="D28" i="3" s="1"/>
  <c r="D27" i="3"/>
  <c r="G29" i="1"/>
  <c r="G31" i="1" s="1"/>
  <c r="G34" i="1" s="1"/>
  <c r="D33" i="1"/>
  <c r="G22" i="1"/>
  <c r="G24" i="1" s="1"/>
  <c r="G27" i="1" s="1"/>
  <c r="D26" i="1"/>
  <c r="D24" i="1"/>
  <c r="D27" i="1" s="1"/>
  <c r="D31" i="1"/>
  <c r="D34" i="1" s="1"/>
  <c r="J22" i="1" l="1"/>
  <c r="G26" i="1"/>
  <c r="J29" i="1"/>
  <c r="G33" i="1"/>
  <c r="J33" i="1" l="1"/>
  <c r="J31" i="1"/>
  <c r="J34" i="1" s="1"/>
  <c r="J26" i="1"/>
  <c r="J24" i="1"/>
  <c r="J27" i="1" s="1"/>
</calcChain>
</file>

<file path=xl/sharedStrings.xml><?xml version="1.0" encoding="utf-8"?>
<sst xmlns="http://schemas.openxmlformats.org/spreadsheetml/2006/main" count="302" uniqueCount="44">
  <si>
    <t>Opportunity Summary</t>
  </si>
  <si>
    <t>Input Details</t>
  </si>
  <si>
    <t>Total Employees</t>
  </si>
  <si>
    <t>Members/Employee</t>
  </si>
  <si>
    <t>Total Covered Lives</t>
  </si>
  <si>
    <t>Rxs PMPY</t>
  </si>
  <si>
    <t>Estimated Annual Rxs</t>
  </si>
  <si>
    <t>Proposed Pharmacy Network</t>
  </si>
  <si>
    <t>Open</t>
  </si>
  <si>
    <t>YoY Growth</t>
  </si>
  <si>
    <t>Avg Member Copay</t>
  </si>
  <si>
    <t>Retail Brand</t>
  </si>
  <si>
    <t>Retail Generic</t>
  </si>
  <si>
    <t>Specialty</t>
  </si>
  <si>
    <t>Proposed PBM Margin/Rx</t>
  </si>
  <si>
    <t>RxIQ Autosave</t>
  </si>
  <si>
    <t>No</t>
  </si>
  <si>
    <t>RxIQ Savings Genius</t>
  </si>
  <si>
    <t>Estimated Pharmacy Spend</t>
  </si>
  <si>
    <t>Year 1</t>
  </si>
  <si>
    <t>Year 2</t>
  </si>
  <si>
    <t>Year 3</t>
  </si>
  <si>
    <t>Projected Annual Drug Spend 
(excl. specialty)</t>
  </si>
  <si>
    <t>Total Open Network Costs</t>
  </si>
  <si>
    <t>Total</t>
  </si>
  <si>
    <t>Member Pay</t>
  </si>
  <si>
    <t>Plan Pay</t>
  </si>
  <si>
    <t>Estimated Rebates</t>
  </si>
  <si>
    <t>PMPM</t>
  </si>
  <si>
    <t>Net PMPM</t>
  </si>
  <si>
    <t>Projected Annual Drug Spend 
(incl. specialty)</t>
  </si>
  <si>
    <t>Total PBM Margin</t>
  </si>
  <si>
    <t>*Net PMPM represents cost PMPM net of estimated member pay &amp; rebates</t>
  </si>
  <si>
    <t>*Pharmacy spend is representative of Texas based commercial group</t>
  </si>
  <si>
    <t>*Network/Rebate Financials are estimates only</t>
  </si>
  <si>
    <t>Brand</t>
  </si>
  <si>
    <t>Generic</t>
  </si>
  <si>
    <t>GLP1 Include/Exclude</t>
  </si>
  <si>
    <t>Specialty Copay</t>
  </si>
  <si>
    <t>Avg Specialty Copay</t>
  </si>
  <si>
    <t>Exclude</t>
  </si>
  <si>
    <t>Internal Rebate Calc</t>
  </si>
  <si>
    <t>Total Margin</t>
  </si>
  <si>
    <t>Include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</si>
</sst>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_(&quot;$&quot;* #,##0_);_(&quot;$&quot;* \(#,##0\);_(&quot;$&quot;* &quot;-&quot;??_);_(@_)"/>
    <numFmt numFmtId="167" formatCode="&quot;$&quot;#,##0"/>
    <numFmt numFmtId="168" formatCode="0.00000000000000%"/>
  </numFmts>
  <fonts count="10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Aptos Narrow"/>
      <family val="2"/>
      <scheme val="minor"/>
    </font>
    <font>
      <b/>
      <sz val="11"/>
      <color theme="1"/>
      <name val="Verdana"/>
      <family val="2"/>
    </font>
    <font>
      <b/>
      <sz val="12"/>
      <color theme="1"/>
      <name val="Verdana"/>
      <family val="2"/>
    </font>
    <font>
      <b/>
      <i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4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0" fillId="2" borderId="0" xfId="0" applyFill="1" applyProtection="1">
      <protection hidden="1"/>
    </xf>
    <xf numFmtId="0" fontId="0" fillId="2" borderId="8" xfId="0" applyFill="1" applyBorder="1" applyProtection="1">
      <protection hidden="1"/>
    </xf>
    <xf numFmtId="0" fontId="3" fillId="2" borderId="12" xfId="0" applyFont="1" applyFill="1" applyBorder="1" applyProtection="1">
      <protection hidden="1"/>
    </xf>
    <xf numFmtId="164" fontId="3" fillId="3" borderId="10" xfId="1" applyNumberFormat="1" applyFont="1" applyFill="1" applyBorder="1" applyProtection="1">
      <protection locked="0"/>
    </xf>
    <xf numFmtId="0" fontId="0" fillId="2" borderId="13" xfId="0" applyFill="1" applyBorder="1" applyProtection="1">
      <protection hidden="1"/>
    </xf>
    <xf numFmtId="0" fontId="3" fillId="2" borderId="4" xfId="0" applyFont="1" applyFill="1" applyBorder="1" applyProtection="1">
      <protection hidden="1"/>
    </xf>
    <xf numFmtId="43" fontId="3" fillId="2" borderId="10" xfId="1" applyFont="1" applyFill="1" applyBorder="1" applyProtection="1">
      <protection hidden="1"/>
    </xf>
    <xf numFmtId="164" fontId="3" fillId="2" borderId="10" xfId="1" applyNumberFormat="1" applyFont="1" applyFill="1" applyBorder="1" applyProtection="1">
      <protection hidden="1"/>
    </xf>
    <xf numFmtId="0" fontId="3" fillId="3" borderId="10" xfId="0" applyFont="1" applyFill="1" applyBorder="1" applyAlignment="1" applyProtection="1">
      <alignment horizontal="right"/>
      <protection locked="0"/>
    </xf>
    <xf numFmtId="9" fontId="3" fillId="3" borderId="10" xfId="0" applyNumberFormat="1" applyFont="1" applyFill="1" applyBorder="1" applyProtection="1">
      <protection locked="0"/>
    </xf>
    <xf numFmtId="0" fontId="4" fillId="2" borderId="4" xfId="0" applyFont="1" applyFill="1" applyBorder="1" applyProtection="1">
      <protection hidden="1"/>
    </xf>
    <xf numFmtId="0" fontId="3" fillId="2" borderId="4" xfId="0" applyFont="1" applyFill="1" applyBorder="1" applyAlignment="1" applyProtection="1">
      <alignment horizontal="left" indent="2"/>
      <protection hidden="1"/>
    </xf>
    <xf numFmtId="6" fontId="3" fillId="3" borderId="10" xfId="0" applyNumberFormat="1" applyFont="1" applyFill="1" applyBorder="1" applyProtection="1">
      <protection locked="0"/>
    </xf>
    <xf numFmtId="165" fontId="3" fillId="3" borderId="10" xfId="0" applyNumberFormat="1" applyFont="1" applyFill="1" applyBorder="1" applyProtection="1">
      <protection locked="0"/>
    </xf>
    <xf numFmtId="165" fontId="3" fillId="3" borderId="10" xfId="0" applyNumberFormat="1" applyFont="1" applyFill="1" applyBorder="1" applyAlignment="1" applyProtection="1">
      <alignment horizontal="right" indent="1"/>
      <protection locked="0"/>
    </xf>
    <xf numFmtId="0" fontId="3" fillId="2" borderId="14" xfId="0" applyFont="1" applyFill="1" applyBorder="1" applyProtection="1">
      <protection hidden="1"/>
    </xf>
    <xf numFmtId="165" fontId="3" fillId="3" borderId="15" xfId="0" applyNumberFormat="1" applyFont="1" applyFill="1" applyBorder="1" applyAlignment="1" applyProtection="1">
      <alignment horizontal="right" indent="1"/>
      <protection locked="0"/>
    </xf>
    <xf numFmtId="0" fontId="0" fillId="2" borderId="16" xfId="0" applyFill="1" applyBorder="1" applyProtection="1">
      <protection hidden="1"/>
    </xf>
    <xf numFmtId="0" fontId="5" fillId="2" borderId="9" xfId="0" applyFont="1" applyFill="1" applyBorder="1" applyAlignment="1" applyProtection="1">
      <alignment horizontal="center" wrapText="1"/>
      <protection hidden="1"/>
    </xf>
    <xf numFmtId="44" fontId="5" fillId="2" borderId="10" xfId="2" applyFont="1" applyFill="1" applyBorder="1" applyAlignment="1" applyProtection="1">
      <alignment horizontal="center" wrapText="1"/>
      <protection hidden="1"/>
    </xf>
    <xf numFmtId="0" fontId="3" fillId="2" borderId="9" xfId="0" applyFont="1" applyFill="1" applyBorder="1" applyAlignment="1" applyProtection="1">
      <alignment horizontal="left" indent="1"/>
      <protection hidden="1"/>
    </xf>
    <xf numFmtId="166" fontId="3" fillId="2" borderId="10" xfId="2" applyNumberFormat="1" applyFont="1" applyFill="1" applyBorder="1" applyProtection="1">
      <protection hidden="1"/>
    </xf>
    <xf numFmtId="0" fontId="3" fillId="2" borderId="9" xfId="0" applyFont="1" applyFill="1" applyBorder="1" applyAlignment="1" applyProtection="1">
      <alignment horizontal="left" indent="2"/>
      <protection hidden="1"/>
    </xf>
    <xf numFmtId="44" fontId="3" fillId="2" borderId="10" xfId="2" applyFont="1" applyFill="1" applyBorder="1" applyProtection="1">
      <protection hidden="1"/>
    </xf>
    <xf numFmtId="6" fontId="3" fillId="2" borderId="10" xfId="0" applyNumberFormat="1" applyFont="1" applyFill="1" applyBorder="1" applyProtection="1">
      <protection hidden="1"/>
    </xf>
    <xf numFmtId="165" fontId="3" fillId="2" borderId="10" xfId="2" applyNumberFormat="1" applyFont="1" applyFill="1" applyBorder="1" applyProtection="1">
      <protection hidden="1"/>
    </xf>
    <xf numFmtId="0" fontId="3" fillId="2" borderId="23" xfId="0" applyFont="1" applyFill="1" applyBorder="1" applyProtection="1">
      <protection hidden="1"/>
    </xf>
    <xf numFmtId="167" fontId="3" fillId="2" borderId="15" xfId="2" applyNumberFormat="1" applyFont="1" applyFill="1" applyBorder="1" applyProtection="1">
      <protection hidden="1"/>
    </xf>
    <xf numFmtId="0" fontId="0" fillId="4" borderId="0" xfId="0" applyFill="1" applyProtection="1">
      <protection hidden="1"/>
    </xf>
    <xf numFmtId="0" fontId="0" fillId="4" borderId="0" xfId="0" applyFill="1"/>
    <xf numFmtId="0" fontId="6" fillId="4" borderId="0" xfId="0" applyFont="1" applyFill="1" applyProtection="1">
      <protection hidden="1"/>
    </xf>
    <xf numFmtId="166" fontId="0" fillId="4" borderId="0" xfId="0" applyNumberFormat="1" applyFill="1" applyProtection="1">
      <protection hidden="1"/>
    </xf>
    <xf numFmtId="168" fontId="0" fillId="0" borderId="0" xfId="0" applyNumberFormat="1"/>
    <xf numFmtId="0" fontId="0" fillId="5" borderId="1" xfId="0" applyFill="1" applyBorder="1" applyProtection="1">
      <protection hidden="1"/>
    </xf>
    <xf numFmtId="0" fontId="0" fillId="5" borderId="2" xfId="0" applyFill="1" applyBorder="1" applyProtection="1">
      <protection hidden="1"/>
    </xf>
    <xf numFmtId="0" fontId="0" fillId="5" borderId="3" xfId="0" applyFill="1" applyBorder="1" applyProtection="1">
      <protection hidden="1"/>
    </xf>
    <xf numFmtId="0" fontId="0" fillId="5" borderId="4" xfId="0" applyFill="1" applyBorder="1" applyProtection="1">
      <protection hidden="1"/>
    </xf>
    <xf numFmtId="0" fontId="0" fillId="5" borderId="0" xfId="0" applyFill="1" applyProtection="1">
      <protection hidden="1"/>
    </xf>
    <xf numFmtId="0" fontId="2" fillId="5" borderId="0" xfId="0" applyFont="1" applyFill="1" applyProtection="1">
      <protection hidden="1"/>
    </xf>
    <xf numFmtId="0" fontId="0" fillId="5" borderId="8" xfId="0" applyFill="1" applyBorder="1" applyProtection="1">
      <protection hidden="1"/>
    </xf>
    <xf numFmtId="43" fontId="3" fillId="5" borderId="10" xfId="1" applyFont="1" applyFill="1" applyBorder="1" applyProtection="1">
      <protection hidden="1"/>
    </xf>
    <xf numFmtId="164" fontId="3" fillId="5" borderId="10" xfId="1" applyNumberFormat="1" applyFont="1" applyFill="1" applyBorder="1" applyProtection="1">
      <protection hidden="1"/>
    </xf>
    <xf numFmtId="0" fontId="3" fillId="5" borderId="10" xfId="0" applyFont="1" applyFill="1" applyBorder="1" applyAlignment="1" applyProtection="1">
      <alignment horizontal="right"/>
      <protection locked="0"/>
    </xf>
    <xf numFmtId="0" fontId="3" fillId="5" borderId="0" xfId="0" applyFont="1" applyFill="1" applyProtection="1">
      <protection hidden="1"/>
    </xf>
    <xf numFmtId="0" fontId="3" fillId="5" borderId="9" xfId="0" applyFont="1" applyFill="1" applyBorder="1" applyAlignment="1" applyProtection="1">
      <alignment horizontal="left" indent="1"/>
      <protection hidden="1"/>
    </xf>
    <xf numFmtId="166" fontId="3" fillId="5" borderId="10" xfId="2" applyNumberFormat="1" applyFont="1" applyFill="1" applyBorder="1" applyProtection="1">
      <protection hidden="1"/>
    </xf>
    <xf numFmtId="0" fontId="3" fillId="5" borderId="10" xfId="0" applyFont="1" applyFill="1" applyBorder="1" applyAlignment="1" applyProtection="1">
      <alignment horizontal="left" indent="1"/>
      <protection hidden="1"/>
    </xf>
    <xf numFmtId="0" fontId="3" fillId="5" borderId="9" xfId="0" applyFont="1" applyFill="1" applyBorder="1" applyAlignment="1" applyProtection="1">
      <alignment horizontal="left" indent="2"/>
      <protection hidden="1"/>
    </xf>
    <xf numFmtId="0" fontId="3" fillId="5" borderId="10" xfId="0" applyFont="1" applyFill="1" applyBorder="1" applyAlignment="1" applyProtection="1">
      <alignment horizontal="left" indent="2"/>
      <protection hidden="1"/>
    </xf>
    <xf numFmtId="166" fontId="3" fillId="5" borderId="11" xfId="2" applyNumberFormat="1" applyFont="1" applyFill="1" applyBorder="1" applyProtection="1">
      <protection hidden="1"/>
    </xf>
    <xf numFmtId="44" fontId="3" fillId="5" borderId="10" xfId="2" applyFont="1" applyFill="1" applyBorder="1" applyProtection="1">
      <protection hidden="1"/>
    </xf>
    <xf numFmtId="44" fontId="3" fillId="5" borderId="11" xfId="2" applyFont="1" applyFill="1" applyBorder="1" applyProtection="1">
      <protection hidden="1"/>
    </xf>
    <xf numFmtId="166" fontId="3" fillId="5" borderId="10" xfId="0" applyNumberFormat="1" applyFont="1" applyFill="1" applyBorder="1" applyProtection="1">
      <protection hidden="1"/>
    </xf>
    <xf numFmtId="0" fontId="3" fillId="5" borderId="23" xfId="0" applyFont="1" applyFill="1" applyBorder="1" applyAlignment="1" applyProtection="1">
      <alignment horizontal="left" indent="1"/>
      <protection hidden="1"/>
    </xf>
    <xf numFmtId="0" fontId="3" fillId="5" borderId="24" xfId="0" applyFont="1" applyFill="1" applyBorder="1" applyProtection="1">
      <protection hidden="1"/>
    </xf>
    <xf numFmtId="0" fontId="3" fillId="5" borderId="15" xfId="0" applyFont="1" applyFill="1" applyBorder="1" applyAlignment="1" applyProtection="1">
      <alignment horizontal="left" indent="1"/>
      <protection hidden="1"/>
    </xf>
    <xf numFmtId="0" fontId="0" fillId="5" borderId="14" xfId="0" applyFill="1" applyBorder="1" applyProtection="1">
      <protection hidden="1"/>
    </xf>
    <xf numFmtId="0" fontId="0" fillId="5" borderId="24" xfId="0" applyFill="1" applyBorder="1" applyProtection="1">
      <protection hidden="1"/>
    </xf>
    <xf numFmtId="0" fontId="0" fillId="5" borderId="16" xfId="0" applyFill="1" applyBorder="1" applyProtection="1">
      <protection hidden="1"/>
    </xf>
    <xf numFmtId="166" fontId="0" fillId="4" borderId="0" xfId="0" applyNumberFormat="1" applyFill="1"/>
    <xf numFmtId="0" fontId="3" fillId="5" borderId="12" xfId="0" applyFont="1" applyFill="1" applyBorder="1" applyProtection="1">
      <protection hidden="1"/>
    </xf>
    <xf numFmtId="0" fontId="0" fillId="5" borderId="13" xfId="0" applyFill="1" applyBorder="1" applyProtection="1">
      <protection hidden="1"/>
    </xf>
    <xf numFmtId="0" fontId="3" fillId="5" borderId="4" xfId="0" applyFont="1" applyFill="1" applyBorder="1" applyProtection="1">
      <protection hidden="1"/>
    </xf>
    <xf numFmtId="0" fontId="4" fillId="5" borderId="4" xfId="0" applyFont="1" applyFill="1" applyBorder="1" applyProtection="1">
      <protection hidden="1"/>
    </xf>
    <xf numFmtId="0" fontId="3" fillId="5" borderId="4" xfId="0" applyFont="1" applyFill="1" applyBorder="1" applyAlignment="1" applyProtection="1">
      <alignment horizontal="left" indent="2"/>
      <protection hidden="1"/>
    </xf>
    <xf numFmtId="0" fontId="3" fillId="5" borderId="14" xfId="0" applyFont="1" applyFill="1" applyBorder="1" applyAlignment="1" applyProtection="1">
      <alignment horizontal="left" indent="2"/>
      <protection hidden="1"/>
    </xf>
    <xf numFmtId="44" fontId="3" fillId="5" borderId="15" xfId="2" applyFont="1" applyFill="1" applyBorder="1" applyProtection="1">
      <protection hidden="1"/>
    </xf>
    <xf numFmtId="44" fontId="3" fillId="5" borderId="25" xfId="2" applyFont="1" applyFill="1" applyBorder="1" applyProtection="1">
      <protection hidden="1"/>
    </xf>
    <xf numFmtId="164" fontId="3" fillId="6" borderId="10" xfId="1" applyNumberFormat="1" applyFont="1" applyFill="1" applyBorder="1" applyProtection="1">
      <protection locked="0"/>
    </xf>
    <xf numFmtId="6" fontId="3" fillId="6" borderId="10" xfId="0" applyNumberFormat="1" applyFont="1" applyFill="1" applyBorder="1" applyProtection="1">
      <protection locked="0"/>
    </xf>
    <xf numFmtId="6" fontId="3" fillId="6" borderId="15" xfId="0" applyNumberFormat="1" applyFont="1" applyFill="1" applyBorder="1" applyProtection="1">
      <protection locked="0"/>
    </xf>
    <xf numFmtId="0" fontId="7" fillId="5" borderId="0" xfId="0" applyFont="1" applyFill="1" applyProtection="1">
      <protection hidden="1"/>
    </xf>
    <xf numFmtId="0" fontId="5" fillId="5" borderId="0" xfId="0" applyFont="1" applyFill="1" applyAlignment="1" applyProtection="1">
      <alignment horizontal="center" wrapText="1"/>
      <protection hidden="1"/>
    </xf>
    <xf numFmtId="0" fontId="3" fillId="5" borderId="0" xfId="0" applyFont="1" applyFill="1" applyAlignment="1" applyProtection="1">
      <alignment horizontal="left" indent="1"/>
      <protection hidden="1"/>
    </xf>
    <xf numFmtId="166" fontId="3" fillId="5" borderId="0" xfId="2" applyNumberFormat="1" applyFont="1" applyFill="1" applyBorder="1" applyProtection="1">
      <protection hidden="1"/>
    </xf>
    <xf numFmtId="0" fontId="3" fillId="5" borderId="0" xfId="0" applyFont="1" applyFill="1" applyAlignment="1" applyProtection="1">
      <alignment horizontal="left" indent="2"/>
      <protection hidden="1"/>
    </xf>
    <xf numFmtId="44" fontId="3" fillId="5" borderId="0" xfId="2" applyFont="1" applyFill="1" applyBorder="1" applyProtection="1">
      <protection hidden="1"/>
    </xf>
    <xf numFmtId="166" fontId="3" fillId="5" borderId="0" xfId="0" applyNumberFormat="1" applyFont="1" applyFill="1" applyProtection="1">
      <protection hidden="1"/>
    </xf>
    <xf numFmtId="0" fontId="3" fillId="5" borderId="8" xfId="0" applyFont="1" applyFill="1" applyBorder="1" applyProtection="1">
      <protection hidden="1"/>
    </xf>
    <xf numFmtId="0" fontId="3" fillId="5" borderId="16" xfId="0" applyFont="1" applyFill="1" applyBorder="1" applyProtection="1">
      <protection hidden="1"/>
    </xf>
    <xf numFmtId="0" fontId="7" fillId="5" borderId="0" xfId="0" applyFont="1" applyFill="1" applyAlignment="1" applyProtection="1">
      <alignment horizontal="center"/>
      <protection hidden="1"/>
    </xf>
    <xf numFmtId="0" fontId="3" fillId="5" borderId="27" xfId="0" applyFont="1" applyFill="1" applyBorder="1" applyAlignment="1" applyProtection="1">
      <alignment horizontal="left" indent="1"/>
      <protection hidden="1"/>
    </xf>
    <xf numFmtId="166" fontId="3" fillId="5" borderId="26" xfId="2" applyNumberFormat="1" applyFont="1" applyFill="1" applyBorder="1" applyProtection="1">
      <protection hidden="1"/>
    </xf>
    <xf numFmtId="0" fontId="3" fillId="5" borderId="28" xfId="0" applyFont="1" applyFill="1" applyBorder="1" applyAlignment="1" applyProtection="1">
      <alignment horizontal="left" indent="1"/>
      <protection hidden="1"/>
    </xf>
    <xf numFmtId="44" fontId="3" fillId="5" borderId="29" xfId="2" applyFont="1" applyFill="1" applyBorder="1" applyProtection="1">
      <protection hidden="1"/>
    </xf>
    <xf numFmtId="0" fontId="8" fillId="5" borderId="0" xfId="0" applyFont="1" applyFill="1" applyAlignment="1" applyProtection="1">
      <alignment horizontal="center"/>
      <protection hidden="1"/>
    </xf>
    <xf numFmtId="0" fontId="5" fillId="5" borderId="0" xfId="0" applyFont="1" applyFill="1" applyAlignment="1" applyProtection="1">
      <alignment horizontal="center"/>
      <protection hidden="1"/>
    </xf>
    <xf numFmtId="0" fontId="7" fillId="5" borderId="8" xfId="0" applyFont="1" applyFill="1" applyBorder="1" applyProtection="1">
      <protection hidden="1"/>
    </xf>
    <xf numFmtId="166" fontId="3" fillId="5" borderId="8" xfId="2" applyNumberFormat="1" applyFont="1" applyFill="1" applyBorder="1" applyProtection="1">
      <protection hidden="1"/>
    </xf>
    <xf numFmtId="44" fontId="3" fillId="5" borderId="8" xfId="2" applyFont="1" applyFill="1" applyBorder="1" applyProtection="1">
      <protection hidden="1"/>
    </xf>
    <xf numFmtId="166" fontId="9" fillId="5" borderId="0" xfId="0" applyNumberFormat="1" applyFont="1" applyFill="1" applyProtection="1">
      <protection hidden="1"/>
    </xf>
    <xf numFmtId="9" fontId="3" fillId="6" borderId="10" xfId="3" applyFont="1" applyFill="1" applyBorder="1" applyProtection="1">
      <protection locked="0"/>
    </xf>
    <xf numFmtId="44" fontId="0" fillId="5" borderId="24" xfId="2" applyFont="1" applyFill="1" applyBorder="1" applyProtection="1">
      <protection hidden="1"/>
    </xf>
    <xf numFmtId="44" fontId="0" fillId="5" borderId="0" xfId="2" applyFont="1" applyFill="1" applyBorder="1" applyProtection="1">
      <protection hidden="1"/>
    </xf>
    <xf numFmtId="0" fontId="5" fillId="5" borderId="31" xfId="0" applyFont="1" applyFill="1" applyBorder="1" applyAlignment="1" applyProtection="1">
      <alignment horizontal="center"/>
      <protection hidden="1"/>
    </xf>
    <xf numFmtId="0" fontId="5" fillId="5" borderId="32" xfId="0" applyFont="1" applyFill="1" applyBorder="1" applyAlignment="1" applyProtection="1">
      <alignment horizontal="center"/>
      <protection hidden="1"/>
    </xf>
    <xf numFmtId="0" fontId="5" fillId="5" borderId="30" xfId="0" applyFont="1" applyFill="1" applyBorder="1" applyAlignment="1" applyProtection="1">
      <alignment horizontal="center"/>
      <protection hidden="1"/>
    </xf>
    <xf numFmtId="0" fontId="5" fillId="5" borderId="0" xfId="0" applyFont="1" applyFill="1" applyAlignment="1" applyProtection="1">
      <alignment horizontal="center" wrapText="1"/>
      <protection hidden="1"/>
    </xf>
    <xf numFmtId="0" fontId="5" fillId="5" borderId="8" xfId="0" applyFont="1" applyFill="1" applyBorder="1" applyAlignment="1" applyProtection="1">
      <alignment horizontal="center" wrapText="1"/>
      <protection hidden="1"/>
    </xf>
    <xf numFmtId="0" fontId="8" fillId="5" borderId="5" xfId="0" applyFont="1" applyFill="1" applyBorder="1" applyAlignment="1" applyProtection="1">
      <alignment horizontal="center"/>
      <protection hidden="1"/>
    </xf>
    <xf numFmtId="0" fontId="8" fillId="5" borderId="6" xfId="0" applyFont="1" applyFill="1" applyBorder="1" applyAlignment="1" applyProtection="1">
      <alignment horizontal="center"/>
      <protection hidden="1"/>
    </xf>
    <xf numFmtId="0" fontId="8" fillId="5" borderId="7" xfId="0" applyFont="1" applyFill="1" applyBorder="1" applyAlignment="1" applyProtection="1">
      <alignment horizontal="center"/>
      <protection hidden="1"/>
    </xf>
    <xf numFmtId="0" fontId="7" fillId="5" borderId="9" xfId="0" applyFont="1" applyFill="1" applyBorder="1" applyAlignment="1" applyProtection="1">
      <alignment horizontal="center"/>
      <protection hidden="1"/>
    </xf>
    <xf numFmtId="0" fontId="7" fillId="5" borderId="10" xfId="0" applyFont="1" applyFill="1" applyBorder="1" applyAlignment="1" applyProtection="1">
      <alignment horizontal="center"/>
      <protection hidden="1"/>
    </xf>
    <xf numFmtId="0" fontId="7" fillId="5" borderId="11" xfId="0" applyFont="1" applyFill="1" applyBorder="1" applyAlignment="1" applyProtection="1">
      <alignment horizontal="center"/>
      <protection hidden="1"/>
    </xf>
    <xf numFmtId="0" fontId="7" fillId="5" borderId="1" xfId="0" applyFont="1" applyFill="1" applyBorder="1" applyAlignment="1" applyProtection="1">
      <alignment horizontal="center"/>
      <protection hidden="1"/>
    </xf>
    <xf numFmtId="0" fontId="7" fillId="5" borderId="2" xfId="0" applyFont="1" applyFill="1" applyBorder="1" applyAlignment="1" applyProtection="1">
      <alignment horizontal="center"/>
      <protection hidden="1"/>
    </xf>
    <xf numFmtId="0" fontId="7" fillId="5" borderId="3" xfId="0" applyFont="1" applyFill="1" applyBorder="1" applyAlignment="1" applyProtection="1">
      <alignment horizontal="center"/>
      <protection hidden="1"/>
    </xf>
    <xf numFmtId="0" fontId="5" fillId="5" borderId="20" xfId="0" applyFont="1" applyFill="1" applyBorder="1" applyAlignment="1" applyProtection="1">
      <alignment horizontal="center" wrapText="1"/>
      <protection hidden="1"/>
    </xf>
    <xf numFmtId="0" fontId="5" fillId="5" borderId="21" xfId="0" applyFont="1" applyFill="1" applyBorder="1" applyAlignment="1" applyProtection="1">
      <alignment horizontal="center" wrapText="1"/>
      <protection hidden="1"/>
    </xf>
    <xf numFmtId="0" fontId="5" fillId="5" borderId="22" xfId="0" applyFont="1" applyFill="1" applyBorder="1" applyAlignment="1" applyProtection="1">
      <alignment horizontal="center" wrapText="1"/>
      <protection hidden="1"/>
    </xf>
    <xf numFmtId="0" fontId="7" fillId="5" borderId="17" xfId="0" applyFont="1" applyFill="1" applyBorder="1" applyAlignment="1" applyProtection="1">
      <alignment horizontal="center"/>
      <protection hidden="1"/>
    </xf>
    <xf numFmtId="0" fontId="7" fillId="5" borderId="18" xfId="0" applyFont="1" applyFill="1" applyBorder="1" applyAlignment="1" applyProtection="1">
      <alignment horizontal="center"/>
      <protection hidden="1"/>
    </xf>
    <xf numFmtId="0" fontId="7" fillId="5" borderId="19" xfId="0" applyFont="1" applyFill="1" applyBorder="1" applyAlignment="1" applyProtection="1">
      <alignment horizontal="center"/>
      <protection hidden="1"/>
    </xf>
    <xf numFmtId="0" fontId="7" fillId="5" borderId="20" xfId="0" applyFont="1" applyFill="1" applyBorder="1" applyAlignment="1" applyProtection="1">
      <alignment horizontal="center"/>
      <protection hidden="1"/>
    </xf>
    <xf numFmtId="0" fontId="7" fillId="5" borderId="21" xfId="0" applyFont="1" applyFill="1" applyBorder="1" applyAlignment="1" applyProtection="1">
      <alignment horizontal="center"/>
      <protection hidden="1"/>
    </xf>
    <xf numFmtId="0" fontId="7" fillId="5" borderId="22" xfId="0" applyFont="1" applyFill="1" applyBorder="1" applyAlignment="1" applyProtection="1">
      <alignment horizontal="center"/>
      <protection hidden="1"/>
    </xf>
    <xf numFmtId="0" fontId="5" fillId="5" borderId="9" xfId="0" applyFont="1" applyFill="1" applyBorder="1" applyAlignment="1" applyProtection="1">
      <alignment horizontal="center" wrapText="1"/>
      <protection hidden="1"/>
    </xf>
    <xf numFmtId="0" fontId="5" fillId="5" borderId="10" xfId="0" applyFont="1" applyFill="1" applyBorder="1" applyAlignment="1" applyProtection="1">
      <alignment horizontal="center" wrapText="1"/>
      <protection hidden="1"/>
    </xf>
    <xf numFmtId="0" fontId="5" fillId="5" borderId="11" xfId="0" applyFont="1" applyFill="1" applyBorder="1" applyAlignment="1" applyProtection="1">
      <alignment horizontal="center" wrapText="1"/>
      <protection hidden="1"/>
    </xf>
    <xf numFmtId="0" fontId="5" fillId="2" borderId="20" xfId="0" applyFont="1" applyFill="1" applyBorder="1" applyAlignment="1" applyProtection="1">
      <alignment horizontal="center" wrapText="1"/>
      <protection hidden="1"/>
    </xf>
    <xf numFmtId="0" fontId="5" fillId="2" borderId="33" xfId="0" applyFont="1" applyFill="1" applyBorder="1" applyAlignment="1" applyProtection="1">
      <alignment horizontal="center" wrapText="1"/>
      <protection hidden="1"/>
    </xf>
    <xf numFmtId="0" fontId="5" fillId="2" borderId="9" xfId="0" applyFont="1" applyFill="1" applyBorder="1" applyAlignment="1" applyProtection="1">
      <alignment horizontal="center" wrapText="1"/>
      <protection hidden="1"/>
    </xf>
    <xf numFmtId="0" fontId="5" fillId="2" borderId="10" xfId="0" applyFont="1" applyFill="1" applyBorder="1" applyAlignment="1" applyProtection="1">
      <alignment horizontal="center" wrapText="1"/>
      <protection hidden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FFF49"/>
      <color rgb="FFB6E6A2"/>
      <color rgb="FFE8B7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member pay 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'Master Model'!$C$31:$C$32</c:f>
              <c:strCache>
                <c:ptCount val="2"/>
                <c:pt idx="0">
                  <c:v>Member Pay</c:v>
                </c:pt>
                <c:pt idx="1">
                  <c:v>Plan Pay</c:v>
                </c:pt>
              </c:strCache>
            </c:strRef>
          </c:tx>
          <c:spPr>
            <a:solidFill>
              <a:schemeClr val="lt1"/>
            </a:solidFill>
            <a:ln w="19050">
              <a:solidFill>
                <a:schemeClr val="accent1"/>
              </a:solidFill>
            </a:ln>
            <a:effectLst/>
          </c:spPr>
          <c:dPt>
            <c:idx val="0"/>
            <c:bubble3D val="0"/>
            <c:spPr>
              <a:solidFill>
                <a:schemeClr val="lt1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CA2-FA4F-A563-844CD7B38140}"/>
              </c:ext>
            </c:extLst>
          </c:dPt>
          <c:dPt>
            <c:idx val="1"/>
            <c:bubble3D val="0"/>
            <c:spPr>
              <a:pattFill prst="narVert">
                <a:fgClr>
                  <a:srgbClr val="B6E6A2"/>
                </a:fgClr>
                <a:bgClr>
                  <a:schemeClr val="bg1"/>
                </a:bgClr>
              </a:patt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CA2-FA4F-A563-844CD7B38140}"/>
              </c:ext>
            </c:extLst>
          </c:dPt>
          <c:dLbls>
            <c:dLbl>
              <c:idx val="0"/>
              <c:layout>
                <c:manualLayout>
                  <c:x val="-0.14192910322007415"/>
                  <c:y val="0.1659861379602999"/>
                </c:manualLayout>
              </c:layout>
              <c:tx>
                <c:rich>
                  <a:bodyPr/>
                  <a:lstStyle/>
                  <a:p>
                    <a:fld id="{E8304029-CDCE-9546-8C49-6267BAE5CE84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52C6F06D-60E8-1046-A638-2A8EF986B222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9CA2-FA4F-A563-844CD7B38140}"/>
                </c:ext>
              </c:extLst>
            </c:dLbl>
            <c:dLbl>
              <c:idx val="1"/>
              <c:layout>
                <c:manualLayout>
                  <c:x val="0.13019222402647135"/>
                  <c:y val="-0.15577268410310999"/>
                </c:manualLayout>
              </c:layout>
              <c:tx>
                <c:rich>
                  <a:bodyPr/>
                  <a:lstStyle/>
                  <a:p>
                    <a:fld id="{EDAC3A06-1F96-5241-8594-76AA8B4489BD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2AFE5079-606F-844E-A718-5ACCC035CCB1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9CA2-FA4F-A563-844CD7B381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val>
            <c:numRef>
              <c:f>'Master Model'!$D$31:$D$32</c:f>
              <c:numCache>
                <c:formatCode>_("$"* #,##0_);_("$"* \(#,##0\);_("$"* "-"??_);_(@_)</c:formatCode>
                <c:ptCount val="2"/>
                <c:pt idx="0">
                  <c:v>294163.83567062125</c:v>
                </c:pt>
                <c:pt idx="1">
                  <c:v>1852824.4049356566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'Master Model'!$C$31:$C$32</c15:f>
                <c15:dlblRangeCache>
                  <c:ptCount val="2"/>
                  <c:pt idx="0">
                    <c:v>Member Pay</c:v>
                  </c:pt>
                  <c:pt idx="1">
                    <c:v>Plan Pay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4-9CA2-FA4F-A563-844CD7B38140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1905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member pay 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'Test Model'!$C$31:$C$32</c:f>
              <c:strCache>
                <c:ptCount val="2"/>
                <c:pt idx="0">
                  <c:v>Member Pay</c:v>
                </c:pt>
                <c:pt idx="1">
                  <c:v>Plan Pay</c:v>
                </c:pt>
              </c:strCache>
            </c:strRef>
          </c:tx>
          <c:spPr>
            <a:solidFill>
              <a:schemeClr val="lt1"/>
            </a:solidFill>
            <a:ln w="19050">
              <a:solidFill>
                <a:schemeClr val="accent1"/>
              </a:solidFill>
            </a:ln>
            <a:effectLst/>
          </c:spPr>
          <c:dPt>
            <c:idx val="0"/>
            <c:bubble3D val="0"/>
            <c:spPr>
              <a:solidFill>
                <a:schemeClr val="lt1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29D-6F4B-902A-CF5C7B44694E}"/>
              </c:ext>
            </c:extLst>
          </c:dPt>
          <c:dPt>
            <c:idx val="1"/>
            <c:bubble3D val="0"/>
            <c:spPr>
              <a:pattFill prst="narVert">
                <a:fgClr>
                  <a:srgbClr val="B6E6A2"/>
                </a:fgClr>
                <a:bgClr>
                  <a:schemeClr val="bg1"/>
                </a:bgClr>
              </a:patt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29D-6F4B-902A-CF5C7B44694E}"/>
              </c:ext>
            </c:extLst>
          </c:dPt>
          <c:dLbls>
            <c:dLbl>
              <c:idx val="0"/>
              <c:layout>
                <c:manualLayout>
                  <c:x val="-0.14192910322007415"/>
                  <c:y val="0.1659861379602999"/>
                </c:manualLayout>
              </c:layout>
              <c:tx>
                <c:rich>
                  <a:bodyPr/>
                  <a:lstStyle/>
                  <a:p>
                    <a:fld id="{14956C49-E9F2-E943-849C-4DFFCCBC58B4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A15F17DB-ED6F-C546-BED0-27A909DB46DA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329D-6F4B-902A-CF5C7B44694E}"/>
                </c:ext>
              </c:extLst>
            </c:dLbl>
            <c:dLbl>
              <c:idx val="1"/>
              <c:layout>
                <c:manualLayout>
                  <c:x val="0.13019222402647135"/>
                  <c:y val="-0.15577268410310999"/>
                </c:manualLayout>
              </c:layout>
              <c:tx>
                <c:rich>
                  <a:bodyPr/>
                  <a:lstStyle/>
                  <a:p>
                    <a:fld id="{C8CD8409-B0C3-8349-871A-41F9489F626C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D3ED720B-5306-804A-BB46-4D87AEEDCFA2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329D-6F4B-902A-CF5C7B4469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val>
            <c:numRef>
              <c:f>'Test Model'!$D$31:$D$32</c:f>
              <c:numCache>
                <c:formatCode>_("$"* #,##0_);_("$"* \(#,##0\);_("$"* "-"??_);_(@_)</c:formatCode>
                <c:ptCount val="2"/>
                <c:pt idx="0">
                  <c:v>6969.5828449115152</c:v>
                </c:pt>
                <c:pt idx="1">
                  <c:v>1781776.4866838336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'Test Model'!$C$31:$C$32</c15:f>
                <c15:dlblRangeCache>
                  <c:ptCount val="2"/>
                  <c:pt idx="0">
                    <c:v>Member Pay</c:v>
                  </c:pt>
                  <c:pt idx="1">
                    <c:v>Plan Pay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4-329D-6F4B-902A-CF5C7B44694E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1905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member pay 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'Model (1 Year)'!$C$31:$C$32</c:f>
              <c:strCache>
                <c:ptCount val="2"/>
                <c:pt idx="0">
                  <c:v>Member Pay</c:v>
                </c:pt>
                <c:pt idx="1">
                  <c:v>Plan Pay</c:v>
                </c:pt>
              </c:strCache>
            </c:strRef>
          </c:tx>
          <c:spPr>
            <a:solidFill>
              <a:schemeClr val="lt1"/>
            </a:solidFill>
            <a:ln w="19050">
              <a:solidFill>
                <a:schemeClr val="accent1"/>
              </a:solidFill>
            </a:ln>
            <a:effectLst/>
          </c:spPr>
          <c:dPt>
            <c:idx val="0"/>
            <c:bubble3D val="0"/>
            <c:spPr>
              <a:solidFill>
                <a:schemeClr val="lt1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BB5-334E-96C2-EFD77065EC75}"/>
              </c:ext>
            </c:extLst>
          </c:dPt>
          <c:dPt>
            <c:idx val="1"/>
            <c:bubble3D val="0"/>
            <c:spPr>
              <a:pattFill prst="narVert">
                <a:fgClr>
                  <a:srgbClr val="B6E6A2"/>
                </a:fgClr>
                <a:bgClr>
                  <a:schemeClr val="bg1"/>
                </a:bgClr>
              </a:patt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BB5-334E-96C2-EFD77065EC75}"/>
              </c:ext>
            </c:extLst>
          </c:dPt>
          <c:dLbls>
            <c:dLbl>
              <c:idx val="0"/>
              <c:layout>
                <c:manualLayout>
                  <c:x val="-0.14192910322007415"/>
                  <c:y val="0.1659861379602999"/>
                </c:manualLayout>
              </c:layout>
              <c:tx>
                <c:rich>
                  <a:bodyPr/>
                  <a:lstStyle/>
                  <a:p>
                    <a:fld id="{58318A0B-E913-BC40-9B62-413879C96576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ACF53C0C-6B36-4B4D-83FD-A976CADFEB63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CBB5-334E-96C2-EFD77065EC75}"/>
                </c:ext>
              </c:extLst>
            </c:dLbl>
            <c:dLbl>
              <c:idx val="1"/>
              <c:layout>
                <c:manualLayout>
                  <c:x val="0.13019222402647135"/>
                  <c:y val="-0.15577268410310999"/>
                </c:manualLayout>
              </c:layout>
              <c:tx>
                <c:rich>
                  <a:bodyPr/>
                  <a:lstStyle/>
                  <a:p>
                    <a:fld id="{6D91D7D6-BD5B-C34D-99F2-B16E1CF2A70E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5EF53A5C-9ADF-BD42-870F-A6FBD72DB332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CBB5-334E-96C2-EFD77065EC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val>
            <c:numRef>
              <c:f>'Model (1 Year)'!$D$31:$D$32</c:f>
              <c:numCache>
                <c:formatCode>_("$"* #,##0_);_("$"* \(#,##0\);_("$"* "-"??_);_(@_)</c:formatCode>
                <c:ptCount val="2"/>
                <c:pt idx="0">
                  <c:v>8121.7671341242503</c:v>
                </c:pt>
                <c:pt idx="1">
                  <c:v>2076332.8353962426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'Model (1 Year)'!$C$31:$C$32</c15:f>
                <c15:dlblRangeCache>
                  <c:ptCount val="2"/>
                  <c:pt idx="0">
                    <c:v>Member Pay</c:v>
                  </c:pt>
                  <c:pt idx="1">
                    <c:v>Plan Pay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4-CBB5-334E-96C2-EFD77065EC75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1905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member pay 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'Model (3 Year Example)'!$C$30:$C$31</c:f>
              <c:strCache>
                <c:ptCount val="2"/>
                <c:pt idx="0">
                  <c:v>Member Pay</c:v>
                </c:pt>
                <c:pt idx="1">
                  <c:v>Plan Pay</c:v>
                </c:pt>
              </c:strCache>
            </c:strRef>
          </c:tx>
          <c:spPr>
            <a:solidFill>
              <a:schemeClr val="lt1"/>
            </a:solidFill>
            <a:ln w="19050">
              <a:solidFill>
                <a:schemeClr val="accent1"/>
              </a:solidFill>
            </a:ln>
            <a:effectLst/>
          </c:spPr>
          <c:dPt>
            <c:idx val="0"/>
            <c:bubble3D val="0"/>
            <c:spPr>
              <a:solidFill>
                <a:schemeClr val="lt1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B05-B24C-8408-AC8771234A00}"/>
              </c:ext>
            </c:extLst>
          </c:dPt>
          <c:dPt>
            <c:idx val="1"/>
            <c:bubble3D val="0"/>
            <c:spPr>
              <a:pattFill prst="narVert">
                <a:fgClr>
                  <a:srgbClr val="B6E6A2"/>
                </a:fgClr>
                <a:bgClr>
                  <a:schemeClr val="bg1"/>
                </a:bgClr>
              </a:patt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B05-B24C-8408-AC8771234A00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10E5A878-9C45-EE4A-B777-FB6BE4C72737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3AD199AD-E45D-5A45-ACDA-23BC0A640215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CB05-B24C-8408-AC8771234A0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74694F0-9EF0-5348-A6AA-A1214DCDDC59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C07613F8-13DD-094D-8E73-CB3EA769A35E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CB05-B24C-8408-AC8771234A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val>
            <c:numRef>
              <c:f>'Model (3 Year Example)'!$D$30:$D$31</c:f>
              <c:numCache>
                <c:formatCode>_("$"* #,##0_);_("$"* \(#,##0\);_("$"* "-"??_);_(@_)</c:formatCode>
                <c:ptCount val="2"/>
                <c:pt idx="0">
                  <c:v>1484175.0701186375</c:v>
                </c:pt>
                <c:pt idx="1">
                  <c:v>600279.53241172922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'Model (3 Year Example)'!$C$30:$C$31</c15:f>
                <c15:dlblRangeCache>
                  <c:ptCount val="2"/>
                  <c:pt idx="0">
                    <c:v>Member Pay</c:v>
                  </c:pt>
                  <c:pt idx="1">
                    <c:v>Plan Pay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4-CB05-B24C-8408-AC8771234A00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1905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0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800" kern="1200" cap="all" spc="150" normalizeH="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>
      <cs:styleClr val="0"/>
    </cs:lnRef>
    <cs:fillRef idx="0"/>
    <cs:effectRef idx="0"/>
    <cs:fontRef idx="minor">
      <cs:styleClr val="0"/>
    </cs:fontRef>
    <cs:defRPr sz="900" b="1" kern="1200"/>
  </cs:dataLabel>
  <cs:dataLabelCallout>
    <cs:lnRef idx="0">
      <cs:styleClr val="0"/>
    </cs:lnRef>
    <cs:fillRef idx="0"/>
    <cs:effectRef idx="0"/>
    <cs:fontRef idx="minor">
      <cs:styleClr val="0"/>
    </cs:fontRef>
    <cs:spPr>
      <a:solidFill>
        <a:schemeClr val="lt1"/>
      </a:solidFill>
      <a:ln>
        <a:solidFill>
          <a:schemeClr val="phClr"/>
        </a:solidFill>
      </a:ln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0"/>
    </cs:lnRef>
    <cs:fillRef idx="0"/>
    <cs:effectRef idx="0"/>
    <cs:fontRef idx="minor">
      <a:schemeClr val="dk1"/>
    </cs:fontRef>
    <cs:spPr>
      <a:solidFill>
        <a:schemeClr val="lt1"/>
      </a:solidFill>
      <a:ln w="19050"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0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800" kern="1200" cap="all" spc="150" normalizeH="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>
      <cs:styleClr val="0"/>
    </cs:lnRef>
    <cs:fillRef idx="0"/>
    <cs:effectRef idx="0"/>
    <cs:fontRef idx="minor">
      <cs:styleClr val="0"/>
    </cs:fontRef>
    <cs:defRPr sz="900" b="1" kern="1200"/>
  </cs:dataLabel>
  <cs:dataLabelCallout>
    <cs:lnRef idx="0">
      <cs:styleClr val="0"/>
    </cs:lnRef>
    <cs:fillRef idx="0"/>
    <cs:effectRef idx="0"/>
    <cs:fontRef idx="minor">
      <cs:styleClr val="0"/>
    </cs:fontRef>
    <cs:spPr>
      <a:solidFill>
        <a:schemeClr val="lt1"/>
      </a:solidFill>
      <a:ln>
        <a:solidFill>
          <a:schemeClr val="phClr"/>
        </a:solidFill>
      </a:ln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0"/>
    </cs:lnRef>
    <cs:fillRef idx="0"/>
    <cs:effectRef idx="0"/>
    <cs:fontRef idx="minor">
      <a:schemeClr val="dk1"/>
    </cs:fontRef>
    <cs:spPr>
      <a:solidFill>
        <a:schemeClr val="lt1"/>
      </a:solidFill>
      <a:ln w="19050"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0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800" kern="1200" cap="all" spc="150" normalizeH="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>
      <cs:styleClr val="0"/>
    </cs:lnRef>
    <cs:fillRef idx="0"/>
    <cs:effectRef idx="0"/>
    <cs:fontRef idx="minor">
      <cs:styleClr val="0"/>
    </cs:fontRef>
    <cs:defRPr sz="900" b="1" kern="1200"/>
  </cs:dataLabel>
  <cs:dataLabelCallout>
    <cs:lnRef idx="0">
      <cs:styleClr val="0"/>
    </cs:lnRef>
    <cs:fillRef idx="0"/>
    <cs:effectRef idx="0"/>
    <cs:fontRef idx="minor">
      <cs:styleClr val="0"/>
    </cs:fontRef>
    <cs:spPr>
      <a:solidFill>
        <a:schemeClr val="lt1"/>
      </a:solidFill>
      <a:ln>
        <a:solidFill>
          <a:schemeClr val="phClr"/>
        </a:solidFill>
      </a:ln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0"/>
    </cs:lnRef>
    <cs:fillRef idx="0"/>
    <cs:effectRef idx="0"/>
    <cs:fontRef idx="minor">
      <a:schemeClr val="dk1"/>
    </cs:fontRef>
    <cs:spPr>
      <a:solidFill>
        <a:schemeClr val="lt1"/>
      </a:solidFill>
      <a:ln w="19050"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0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800" kern="1200" cap="all" spc="150" normalizeH="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>
      <cs:styleClr val="0"/>
    </cs:lnRef>
    <cs:fillRef idx="0"/>
    <cs:effectRef idx="0"/>
    <cs:fontRef idx="minor">
      <cs:styleClr val="0"/>
    </cs:fontRef>
    <cs:defRPr sz="900" b="1" kern="1200"/>
  </cs:dataLabel>
  <cs:dataLabelCallout>
    <cs:lnRef idx="0">
      <cs:styleClr val="0"/>
    </cs:lnRef>
    <cs:fillRef idx="0"/>
    <cs:effectRef idx="0"/>
    <cs:fontRef idx="minor">
      <cs:styleClr val="0"/>
    </cs:fontRef>
    <cs:spPr>
      <a:solidFill>
        <a:schemeClr val="lt1"/>
      </a:solidFill>
      <a:ln>
        <a:solidFill>
          <a:schemeClr val="phClr"/>
        </a:solidFill>
      </a:ln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0"/>
    </cs:lnRef>
    <cs:fillRef idx="0"/>
    <cs:effectRef idx="0"/>
    <cs:fontRef idx="minor">
      <a:schemeClr val="dk1"/>
    </cs:fontRef>
    <cs:spPr>
      <a:solidFill>
        <a:schemeClr val="lt1"/>
      </a:solidFill>
      <a:ln w="19050"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98424</xdr:colOff>
      <xdr:row>3</xdr:row>
      <xdr:rowOff>9525</xdr:rowOff>
    </xdr:from>
    <xdr:to>
      <xdr:col>10</xdr:col>
      <xdr:colOff>190499</xdr:colOff>
      <xdr:row>24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289EF72-F616-4C40-8556-07BA18FA7B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98424</xdr:colOff>
      <xdr:row>3</xdr:row>
      <xdr:rowOff>9525</xdr:rowOff>
    </xdr:from>
    <xdr:to>
      <xdr:col>10</xdr:col>
      <xdr:colOff>190499</xdr:colOff>
      <xdr:row>24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96C256B-AAC9-7B4A-821B-0737F56373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98424</xdr:colOff>
      <xdr:row>3</xdr:row>
      <xdr:rowOff>9525</xdr:rowOff>
    </xdr:from>
    <xdr:to>
      <xdr:col>10</xdr:col>
      <xdr:colOff>190499</xdr:colOff>
      <xdr:row>24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9E9B4F2-459E-8140-A79C-077443749D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885825</xdr:colOff>
      <xdr:row>3</xdr:row>
      <xdr:rowOff>123825</xdr:rowOff>
    </xdr:from>
    <xdr:to>
      <xdr:col>9</xdr:col>
      <xdr:colOff>317501</xdr:colOff>
      <xdr:row>16</xdr:row>
      <xdr:rowOff>127000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88CF109-4DD2-AE46-8E35-B2AADF003D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594FC-DF67-7F46-968E-DF19B194BC50}">
  <dimension ref="B2:M40"/>
  <sheetViews>
    <sheetView tabSelected="1" zoomScale="140" zoomScaleNormal="140" workbookViewId="0">
      <selection activeCell="L4" sqref="L4"/>
    </sheetView>
  </sheetViews>
  <sheetFormatPr baseColWidth="10" defaultRowHeight="16" x14ac:dyDescent="0.2"/>
  <cols>
    <col min="1" max="1" width="6.5" style="30" customWidth="1"/>
    <col min="2" max="2" width="6" style="30" customWidth="1"/>
    <col min="3" max="3" width="25.5" style="30" customWidth="1"/>
    <col min="4" max="4" width="13.6640625" style="30" bestFit="1" customWidth="1"/>
    <col min="5" max="6" width="6.5" style="30" customWidth="1"/>
    <col min="7" max="7" width="17" style="30" bestFit="1" customWidth="1"/>
    <col min="8" max="8" width="12.1640625" style="30" bestFit="1" customWidth="1"/>
    <col min="9" max="9" width="6.1640625" style="30" customWidth="1"/>
    <col min="10" max="10" width="17" style="30" bestFit="1" customWidth="1"/>
    <col min="11" max="11" width="13.6640625" style="30" customWidth="1"/>
    <col min="12" max="12" width="10.83203125" style="30"/>
    <col min="13" max="13" width="12.5" style="30" bestFit="1" customWidth="1"/>
    <col min="14" max="16384" width="10.83203125" style="30"/>
  </cols>
  <sheetData>
    <row r="2" spans="2:12" ht="17" thickBot="1" x14ac:dyDescent="0.25"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2:12" ht="17" thickBot="1" x14ac:dyDescent="0.25">
      <c r="B3" s="34"/>
      <c r="C3" s="35"/>
      <c r="D3" s="35"/>
      <c r="E3" s="35"/>
      <c r="F3" s="35"/>
      <c r="G3" s="35"/>
      <c r="H3" s="35"/>
      <c r="I3" s="35"/>
      <c r="J3" s="35"/>
      <c r="K3" s="36"/>
      <c r="L3" s="29"/>
    </row>
    <row r="4" spans="2:12" x14ac:dyDescent="0.2">
      <c r="B4" s="37"/>
      <c r="C4" s="100" t="s">
        <v>0</v>
      </c>
      <c r="D4" s="101"/>
      <c r="E4" s="102"/>
      <c r="F4" s="86"/>
      <c r="G4" s="38"/>
      <c r="H4" s="39"/>
      <c r="I4" s="39"/>
      <c r="J4" s="39"/>
      <c r="K4" s="40"/>
      <c r="L4" s="29"/>
    </row>
    <row r="5" spans="2:12" x14ac:dyDescent="0.2">
      <c r="B5" s="37"/>
      <c r="C5" s="103" t="s">
        <v>1</v>
      </c>
      <c r="D5" s="104"/>
      <c r="E5" s="105"/>
      <c r="F5" s="81"/>
      <c r="G5" s="38"/>
      <c r="H5" s="38"/>
      <c r="I5" s="38"/>
      <c r="J5" s="38"/>
      <c r="K5" s="40"/>
      <c r="L5" s="29"/>
    </row>
    <row r="6" spans="2:12" x14ac:dyDescent="0.2">
      <c r="B6" s="37"/>
      <c r="C6" s="61" t="s">
        <v>2</v>
      </c>
      <c r="D6" s="69">
        <v>500</v>
      </c>
      <c r="E6" s="62"/>
      <c r="F6" s="38"/>
      <c r="G6" s="38"/>
      <c r="H6" s="38"/>
      <c r="I6" s="38"/>
      <c r="J6" s="38"/>
      <c r="K6" s="40"/>
      <c r="L6" s="29"/>
    </row>
    <row r="7" spans="2:12" x14ac:dyDescent="0.2">
      <c r="B7" s="37"/>
      <c r="C7" s="63" t="s">
        <v>3</v>
      </c>
      <c r="D7" s="41">
        <v>2.2999999999999998</v>
      </c>
      <c r="E7" s="40"/>
      <c r="F7" s="38"/>
      <c r="G7" s="38"/>
      <c r="H7" s="38"/>
      <c r="I7" s="38"/>
      <c r="J7" s="38"/>
      <c r="K7" s="40"/>
      <c r="L7" s="29"/>
    </row>
    <row r="8" spans="2:12" x14ac:dyDescent="0.2">
      <c r="B8" s="37"/>
      <c r="C8" s="63" t="s">
        <v>4</v>
      </c>
      <c r="D8" s="42">
        <f>D6*D7</f>
        <v>1150</v>
      </c>
      <c r="E8" s="40"/>
      <c r="F8" s="38"/>
      <c r="G8" s="38"/>
      <c r="H8" s="38"/>
      <c r="I8" s="38"/>
      <c r="J8" s="38"/>
      <c r="K8" s="40"/>
      <c r="L8" s="29"/>
    </row>
    <row r="9" spans="2:12" x14ac:dyDescent="0.2">
      <c r="B9" s="37"/>
      <c r="C9" s="63" t="s">
        <v>5</v>
      </c>
      <c r="D9" s="42">
        <v>10</v>
      </c>
      <c r="E9" s="40"/>
      <c r="F9" s="38"/>
      <c r="G9" s="38"/>
      <c r="H9" s="38"/>
      <c r="I9" s="38"/>
      <c r="J9" s="38"/>
      <c r="K9" s="40"/>
      <c r="L9" s="29"/>
    </row>
    <row r="10" spans="2:12" x14ac:dyDescent="0.2">
      <c r="B10" s="37"/>
      <c r="C10" s="63" t="s">
        <v>6</v>
      </c>
      <c r="D10" s="42">
        <f>D8*D9</f>
        <v>11500</v>
      </c>
      <c r="E10" s="40"/>
      <c r="F10" s="38"/>
      <c r="G10" s="38"/>
      <c r="H10" s="38"/>
      <c r="I10" s="38"/>
      <c r="J10" s="38"/>
      <c r="K10" s="40"/>
      <c r="L10" s="29"/>
    </row>
    <row r="11" spans="2:12" x14ac:dyDescent="0.2">
      <c r="B11" s="37"/>
      <c r="C11" s="63" t="s">
        <v>7</v>
      </c>
      <c r="D11" s="43" t="s">
        <v>8</v>
      </c>
      <c r="E11" s="40"/>
      <c r="F11" s="38"/>
      <c r="G11" s="38"/>
      <c r="H11" s="38"/>
      <c r="I11" s="38"/>
      <c r="J11" s="38"/>
      <c r="K11" s="40"/>
      <c r="L11" s="29"/>
    </row>
    <row r="12" spans="2:12" x14ac:dyDescent="0.2">
      <c r="B12" s="37"/>
      <c r="C12" s="63" t="s">
        <v>37</v>
      </c>
      <c r="D12" s="9" t="s">
        <v>43</v>
      </c>
      <c r="E12" s="40"/>
      <c r="F12" s="38"/>
      <c r="G12" s="38"/>
      <c r="H12" s="38"/>
      <c r="I12" s="38"/>
      <c r="J12" s="38"/>
      <c r="K12" s="40"/>
      <c r="L12" s="29"/>
    </row>
    <row r="13" spans="2:12" x14ac:dyDescent="0.2">
      <c r="B13" s="37"/>
      <c r="C13" s="64" t="s">
        <v>10</v>
      </c>
      <c r="D13" s="38"/>
      <c r="E13" s="40"/>
      <c r="F13" s="38"/>
      <c r="G13" s="38"/>
      <c r="H13" s="38"/>
      <c r="I13" s="38"/>
      <c r="J13" s="38"/>
      <c r="K13" s="40"/>
      <c r="L13" s="29"/>
    </row>
    <row r="14" spans="2:12" x14ac:dyDescent="0.2">
      <c r="B14" s="37"/>
      <c r="C14" s="65" t="s">
        <v>11</v>
      </c>
      <c r="D14" s="70">
        <v>5</v>
      </c>
      <c r="E14" s="40"/>
      <c r="F14" s="38"/>
      <c r="G14" s="38"/>
      <c r="H14" s="38"/>
      <c r="I14" s="38"/>
      <c r="J14" s="38"/>
      <c r="K14" s="40"/>
      <c r="L14" s="29"/>
    </row>
    <row r="15" spans="2:12" x14ac:dyDescent="0.2">
      <c r="B15" s="37"/>
      <c r="C15" s="65" t="s">
        <v>12</v>
      </c>
      <c r="D15" s="70">
        <v>25</v>
      </c>
      <c r="E15" s="40"/>
      <c r="F15" s="38"/>
      <c r="G15" s="38"/>
      <c r="H15" s="38"/>
      <c r="I15" s="38"/>
      <c r="J15" s="38"/>
      <c r="K15" s="40"/>
      <c r="L15" s="29"/>
    </row>
    <row r="16" spans="2:12" x14ac:dyDescent="0.2">
      <c r="B16" s="37"/>
      <c r="C16" s="65" t="s">
        <v>38</v>
      </c>
      <c r="D16" s="92">
        <v>0.05</v>
      </c>
      <c r="E16" s="40"/>
      <c r="F16" s="38"/>
      <c r="G16" s="38"/>
      <c r="H16" s="38"/>
      <c r="I16" s="38"/>
      <c r="J16" s="38"/>
      <c r="K16" s="40"/>
      <c r="L16" s="29"/>
    </row>
    <row r="17" spans="2:13" x14ac:dyDescent="0.2">
      <c r="B17" s="37"/>
      <c r="C17" s="65" t="s">
        <v>39</v>
      </c>
      <c r="D17" s="94">
        <f>D16*8460.17</f>
        <v>423.00850000000003</v>
      </c>
      <c r="E17" s="40"/>
      <c r="F17" s="38"/>
      <c r="G17" s="38"/>
      <c r="H17" s="38"/>
      <c r="I17" s="38"/>
      <c r="J17" s="38"/>
      <c r="K17" s="40"/>
      <c r="L17" s="29"/>
    </row>
    <row r="18" spans="2:13" ht="17" thickBot="1" x14ac:dyDescent="0.25">
      <c r="B18" s="37"/>
      <c r="C18" s="66"/>
      <c r="D18" s="93"/>
      <c r="E18" s="59"/>
      <c r="F18" s="38"/>
      <c r="G18" s="38"/>
      <c r="H18" s="38"/>
      <c r="I18" s="38"/>
      <c r="J18" s="38"/>
      <c r="K18" s="40"/>
      <c r="L18" s="29"/>
    </row>
    <row r="19" spans="2:13" x14ac:dyDescent="0.2">
      <c r="B19" s="37"/>
      <c r="C19" s="38"/>
      <c r="D19" s="38"/>
      <c r="E19" s="38"/>
      <c r="F19" s="38"/>
      <c r="G19" s="38"/>
      <c r="H19" s="38"/>
      <c r="I19" s="38"/>
      <c r="J19" s="38"/>
      <c r="K19" s="40"/>
      <c r="L19" s="29"/>
    </row>
    <row r="20" spans="2:13" ht="17" thickBot="1" x14ac:dyDescent="0.25">
      <c r="B20" s="37"/>
      <c r="C20" s="38"/>
      <c r="D20" s="38"/>
      <c r="E20" s="38"/>
      <c r="F20" s="38"/>
      <c r="G20" s="38"/>
      <c r="H20" s="38"/>
      <c r="I20" s="38"/>
      <c r="J20" s="38"/>
      <c r="K20" s="40"/>
      <c r="L20" s="29"/>
    </row>
    <row r="21" spans="2:13" x14ac:dyDescent="0.2">
      <c r="B21" s="37"/>
      <c r="C21" s="106" t="s">
        <v>18</v>
      </c>
      <c r="D21" s="107"/>
      <c r="E21" s="108"/>
      <c r="F21" s="81"/>
      <c r="G21" s="72"/>
      <c r="H21" s="72"/>
      <c r="I21" s="72"/>
      <c r="J21" s="72"/>
      <c r="K21" s="88"/>
      <c r="L21" s="29"/>
    </row>
    <row r="22" spans="2:13" ht="16" customHeight="1" x14ac:dyDescent="0.2">
      <c r="B22" s="37"/>
      <c r="C22" s="109" t="s">
        <v>22</v>
      </c>
      <c r="D22" s="110"/>
      <c r="E22" s="111"/>
      <c r="F22" s="73"/>
      <c r="G22" s="98"/>
      <c r="H22" s="98"/>
      <c r="I22" s="44"/>
      <c r="J22" s="98"/>
      <c r="K22" s="99"/>
      <c r="L22" s="29"/>
    </row>
    <row r="23" spans="2:13" x14ac:dyDescent="0.2">
      <c r="B23" s="37"/>
      <c r="C23" s="82" t="s">
        <v>24</v>
      </c>
      <c r="D23" s="83">
        <f>IF(D12="include",D10*'Background - Yes'!I4,D10*'Background - No'!I4)*1.03</f>
        <v>1310446.2257914802</v>
      </c>
      <c r="E23" s="79"/>
      <c r="F23" s="44"/>
      <c r="G23" s="74"/>
      <c r="H23" s="75"/>
      <c r="I23" s="44"/>
      <c r="J23" s="74"/>
      <c r="K23" s="89"/>
      <c r="L23" s="29"/>
    </row>
    <row r="24" spans="2:13" x14ac:dyDescent="0.2">
      <c r="B24" s="37"/>
      <c r="C24" s="48" t="s">
        <v>25</v>
      </c>
      <c r="D24" s="46">
        <f>IF(D12="include",(D10*'Background - Yes'!J5*D15)+(D10*'Background - Yes'!K5*D14),(D10*'Background - No'!J5*D15)+(D10*'Background - No'!K5*D14))</f>
        <v>154327.44264442052</v>
      </c>
      <c r="E24" s="79"/>
      <c r="F24" s="44"/>
      <c r="G24" s="76"/>
      <c r="H24" s="75"/>
      <c r="I24" s="44"/>
      <c r="J24" s="76"/>
      <c r="K24" s="89"/>
      <c r="L24" s="29"/>
    </row>
    <row r="25" spans="2:13" x14ac:dyDescent="0.2">
      <c r="B25" s="37"/>
      <c r="C25" s="48" t="s">
        <v>26</v>
      </c>
      <c r="D25" s="46">
        <f>D23-D24</f>
        <v>1156118.7831470596</v>
      </c>
      <c r="E25" s="79"/>
      <c r="F25" s="44"/>
      <c r="G25" s="76"/>
      <c r="H25" s="75"/>
      <c r="I25" s="44"/>
      <c r="J25" s="76"/>
      <c r="K25" s="89"/>
      <c r="L25" s="29"/>
    </row>
    <row r="26" spans="2:13" x14ac:dyDescent="0.2">
      <c r="B26" s="37"/>
      <c r="C26" s="48" t="s">
        <v>27</v>
      </c>
      <c r="D26" s="46">
        <f>IF(D12="include",D10*'Background - Yes'!I7,D10*'Background - No'!I7)</f>
        <v>536969.28447245783</v>
      </c>
      <c r="E26" s="79"/>
      <c r="F26" s="44"/>
      <c r="G26" s="91" t="s">
        <v>32</v>
      </c>
      <c r="H26" s="78"/>
      <c r="I26" s="44"/>
      <c r="J26" s="76"/>
      <c r="K26" s="89"/>
      <c r="L26" s="29"/>
      <c r="M26" s="60"/>
    </row>
    <row r="27" spans="2:13" x14ac:dyDescent="0.2">
      <c r="B27" s="37"/>
      <c r="C27" s="45" t="s">
        <v>28</v>
      </c>
      <c r="D27" s="51">
        <f>D23/$D$8/12</f>
        <v>94.959871434165223</v>
      </c>
      <c r="E27" s="79"/>
      <c r="F27" s="44"/>
      <c r="G27" s="91" t="s">
        <v>33</v>
      </c>
      <c r="H27" s="78"/>
      <c r="I27" s="44"/>
      <c r="J27" s="74"/>
      <c r="K27" s="90"/>
      <c r="L27" s="29"/>
      <c r="M27" s="60"/>
    </row>
    <row r="28" spans="2:13" ht="17" thickBot="1" x14ac:dyDescent="0.25">
      <c r="B28" s="37"/>
      <c r="C28" s="84" t="s">
        <v>29</v>
      </c>
      <c r="D28" s="85">
        <f>(D25-D26)/$D$8/12</f>
        <v>44.865905701058097</v>
      </c>
      <c r="E28" s="79"/>
      <c r="F28" s="44"/>
      <c r="G28" s="91" t="s">
        <v>34</v>
      </c>
      <c r="H28" s="78"/>
      <c r="I28" s="44"/>
      <c r="J28" s="74"/>
      <c r="K28" s="90"/>
      <c r="L28" s="29"/>
    </row>
    <row r="29" spans="2:13" ht="17" customHeight="1" thickBot="1" x14ac:dyDescent="0.25">
      <c r="B29" s="37"/>
      <c r="C29" s="95" t="s">
        <v>30</v>
      </c>
      <c r="D29" s="96"/>
      <c r="E29" s="97"/>
      <c r="F29" s="87"/>
      <c r="G29" s="98"/>
      <c r="H29" s="98"/>
      <c r="I29" s="44"/>
      <c r="J29" s="98"/>
      <c r="K29" s="99"/>
      <c r="L29" s="29"/>
    </row>
    <row r="30" spans="2:13" x14ac:dyDescent="0.2">
      <c r="B30" s="37"/>
      <c r="C30" s="82" t="s">
        <v>24</v>
      </c>
      <c r="D30" s="83">
        <f>IF(D12="include",D10*'Background - Yes'!I9,D10*'Background - No'!I9)*1.03</f>
        <v>2146988.2406062777</v>
      </c>
      <c r="E30" s="79"/>
      <c r="F30" s="44"/>
      <c r="G30" s="74"/>
      <c r="H30" s="75"/>
      <c r="I30" s="44"/>
      <c r="J30" s="74"/>
      <c r="K30" s="89"/>
      <c r="L30" s="29"/>
    </row>
    <row r="31" spans="2:13" x14ac:dyDescent="0.2">
      <c r="B31" s="37"/>
      <c r="C31" s="48" t="s">
        <v>25</v>
      </c>
      <c r="D31" s="46">
        <f>IF(D12="include",(D10*'Background - Yes'!J10*D15)+(D10*'Background - Yes'!K10*D14)+(D10*'Background - Yes'!L10*(D16*100)),(D10*'Background - No'!J10*D15)+(D10*'Background - No'!K10*D14)+(D10*'Background - No'!L10*(D16*100)))</f>
        <v>294163.83567062125</v>
      </c>
      <c r="E31" s="79"/>
      <c r="F31" s="44"/>
      <c r="G31" s="76"/>
      <c r="H31" s="75"/>
      <c r="I31" s="44"/>
      <c r="J31" s="76"/>
      <c r="K31" s="89"/>
      <c r="L31" s="29"/>
    </row>
    <row r="32" spans="2:13" x14ac:dyDescent="0.2">
      <c r="B32" s="37"/>
      <c r="C32" s="48" t="s">
        <v>26</v>
      </c>
      <c r="D32" s="53">
        <f>D30-D31</f>
        <v>1852824.4049356566</v>
      </c>
      <c r="E32" s="79"/>
      <c r="F32" s="44"/>
      <c r="G32" s="76"/>
      <c r="H32" s="78"/>
      <c r="I32" s="44"/>
      <c r="J32" s="76"/>
      <c r="K32" s="89"/>
      <c r="L32" s="29"/>
    </row>
    <row r="33" spans="2:12" x14ac:dyDescent="0.2">
      <c r="B33" s="37"/>
      <c r="C33" s="48" t="s">
        <v>27</v>
      </c>
      <c r="D33" s="46">
        <f>IF(D12="include",D10*'Background - Yes'!I12,D10*'Background - No'!I12)</f>
        <v>728840.5</v>
      </c>
      <c r="E33" s="79"/>
      <c r="F33" s="44"/>
      <c r="G33" s="76"/>
      <c r="H33" s="75"/>
      <c r="I33" s="44"/>
      <c r="J33" s="76"/>
      <c r="K33" s="89"/>
      <c r="L33" s="29"/>
    </row>
    <row r="34" spans="2:12" x14ac:dyDescent="0.2">
      <c r="B34" s="37"/>
      <c r="C34" s="45" t="s">
        <v>28</v>
      </c>
      <c r="D34" s="51">
        <f>D30/$D$8/12</f>
        <v>155.57885801494766</v>
      </c>
      <c r="E34" s="79"/>
      <c r="F34" s="44"/>
      <c r="G34" s="74"/>
      <c r="H34" s="77"/>
      <c r="I34" s="44"/>
      <c r="J34" s="74"/>
      <c r="K34" s="90"/>
      <c r="L34" s="29"/>
    </row>
    <row r="35" spans="2:12" ht="17" thickBot="1" x14ac:dyDescent="0.25">
      <c r="B35" s="37"/>
      <c r="C35" s="54" t="s">
        <v>29</v>
      </c>
      <c r="D35" s="67">
        <f>(D32-D33)/$D$8/12</f>
        <v>81.448109053308443</v>
      </c>
      <c r="E35" s="80"/>
      <c r="F35" s="44"/>
      <c r="G35" s="74"/>
      <c r="H35" s="77"/>
      <c r="I35" s="44"/>
      <c r="J35" s="74"/>
      <c r="K35" s="90"/>
      <c r="L35" s="29"/>
    </row>
    <row r="36" spans="2:12" ht="17" thickBot="1" x14ac:dyDescent="0.25">
      <c r="B36" s="57"/>
      <c r="C36" s="58"/>
      <c r="D36" s="58"/>
      <c r="E36" s="58"/>
      <c r="F36" s="58"/>
      <c r="G36" s="58"/>
      <c r="H36" s="58"/>
      <c r="I36" s="58"/>
      <c r="J36" s="58"/>
      <c r="K36" s="59"/>
      <c r="L36" s="29"/>
    </row>
    <row r="37" spans="2:12" x14ac:dyDescent="0.2">
      <c r="B37" s="29"/>
      <c r="C37" s="31"/>
      <c r="D37" s="29"/>
      <c r="E37" s="29"/>
      <c r="F37" s="29"/>
      <c r="G37" s="29"/>
      <c r="H37" s="29"/>
      <c r="I37" s="29"/>
      <c r="J37" s="29"/>
      <c r="K37" s="29"/>
      <c r="L37" s="29"/>
    </row>
    <row r="38" spans="2:12" x14ac:dyDescent="0.2">
      <c r="B38" s="29"/>
      <c r="C38" s="31"/>
      <c r="D38" s="29"/>
      <c r="E38" s="29"/>
      <c r="F38" s="29"/>
      <c r="G38" s="29"/>
      <c r="H38" s="29"/>
      <c r="I38" s="29"/>
      <c r="J38" s="29"/>
      <c r="K38" s="29"/>
      <c r="L38" s="29"/>
    </row>
    <row r="39" spans="2:12" x14ac:dyDescent="0.2">
      <c r="B39" s="29"/>
      <c r="C39" s="31"/>
      <c r="D39" s="29"/>
      <c r="E39" s="29"/>
      <c r="F39" s="29"/>
      <c r="G39" s="29"/>
      <c r="H39" s="32"/>
      <c r="I39" s="29"/>
      <c r="J39" s="32"/>
      <c r="K39" s="29"/>
      <c r="L39" s="29"/>
    </row>
    <row r="40" spans="2:12" x14ac:dyDescent="0.2">
      <c r="C40" s="31"/>
    </row>
  </sheetData>
  <sheetProtection algorithmName="SHA-512" hashValue="q7FaSgBebTyFOV11LjjgZCg3Ta6S/ALhkCrEh24G/sFimuNiqnKsL1kxfxZxdgP3GxNYz1l1D4JzcuJodymgeg==" saltValue="nYAfYxeKvmLd6XANsC67UQ==" spinCount="100000" sheet="1" objects="1" scenarios="1"/>
  <mergeCells count="9">
    <mergeCell ref="C29:E29"/>
    <mergeCell ref="G29:H29"/>
    <mergeCell ref="J29:K29"/>
    <mergeCell ref="C4:E4"/>
    <mergeCell ref="C5:E5"/>
    <mergeCell ref="C21:E21"/>
    <mergeCell ref="C22:E22"/>
    <mergeCell ref="G22:H22"/>
    <mergeCell ref="J22:K22"/>
  </mergeCells>
  <dataValidations disablePrompts="1" count="1">
    <dataValidation type="list" allowBlank="1" showInputMessage="1" showErrorMessage="1" sqref="D12" xr:uid="{6EDFF569-0200-AC4C-AA17-672203F284A1}">
      <formula1>"Include, Exclude"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B1F68-9326-CA45-B526-40A03706BFCC}">
  <dimension ref="B2:M40"/>
  <sheetViews>
    <sheetView topLeftCell="A3" zoomScaleNormal="100" workbookViewId="0">
      <selection activeCell="F38" sqref="F38"/>
    </sheetView>
  </sheetViews>
  <sheetFormatPr baseColWidth="10" defaultRowHeight="16" x14ac:dyDescent="0.2"/>
  <cols>
    <col min="1" max="1" width="6.5" style="30" customWidth="1"/>
    <col min="2" max="2" width="6" style="30" customWidth="1"/>
    <col min="3" max="3" width="25.5" style="30" customWidth="1"/>
    <col min="4" max="4" width="13.6640625" style="30" bestFit="1" customWidth="1"/>
    <col min="5" max="6" width="6.5" style="30" customWidth="1"/>
    <col min="7" max="7" width="17" style="30" bestFit="1" customWidth="1"/>
    <col min="8" max="8" width="12.1640625" style="30" bestFit="1" customWidth="1"/>
    <col min="9" max="9" width="6.1640625" style="30" customWidth="1"/>
    <col min="10" max="10" width="17" style="30" bestFit="1" customWidth="1"/>
    <col min="11" max="11" width="13.6640625" style="30" customWidth="1"/>
    <col min="12" max="12" width="10.83203125" style="30"/>
    <col min="13" max="13" width="12.5" style="30" bestFit="1" customWidth="1"/>
    <col min="14" max="16384" width="10.83203125" style="30"/>
  </cols>
  <sheetData>
    <row r="2" spans="2:12" ht="17" thickBot="1" x14ac:dyDescent="0.25"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2:12" ht="17" thickBot="1" x14ac:dyDescent="0.25">
      <c r="B3" s="34"/>
      <c r="C3" s="35"/>
      <c r="D3" s="35"/>
      <c r="E3" s="35"/>
      <c r="F3" s="35"/>
      <c r="G3" s="35"/>
      <c r="H3" s="35"/>
      <c r="I3" s="35"/>
      <c r="J3" s="35"/>
      <c r="K3" s="36"/>
      <c r="L3" s="29"/>
    </row>
    <row r="4" spans="2:12" x14ac:dyDescent="0.2">
      <c r="B4" s="37"/>
      <c r="C4" s="100" t="s">
        <v>0</v>
      </c>
      <c r="D4" s="101"/>
      <c r="E4" s="102"/>
      <c r="F4" s="86"/>
      <c r="G4" s="38"/>
      <c r="H4" s="39"/>
      <c r="I4" s="39"/>
      <c r="J4" s="39"/>
      <c r="K4" s="40"/>
      <c r="L4" s="29"/>
    </row>
    <row r="5" spans="2:12" x14ac:dyDescent="0.2">
      <c r="B5" s="37"/>
      <c r="C5" s="103" t="s">
        <v>1</v>
      </c>
      <c r="D5" s="104"/>
      <c r="E5" s="105"/>
      <c r="F5" s="81"/>
      <c r="G5" s="38"/>
      <c r="H5" s="38"/>
      <c r="I5" s="38"/>
      <c r="J5" s="38"/>
      <c r="K5" s="40"/>
      <c r="L5" s="29"/>
    </row>
    <row r="6" spans="2:12" x14ac:dyDescent="0.2">
      <c r="B6" s="37"/>
      <c r="C6" s="61" t="s">
        <v>2</v>
      </c>
      <c r="D6" s="69">
        <v>500</v>
      </c>
      <c r="E6" s="62"/>
      <c r="F6" s="38"/>
      <c r="G6" s="38"/>
      <c r="H6" s="38"/>
      <c r="I6" s="38"/>
      <c r="J6" s="38"/>
      <c r="K6" s="40"/>
      <c r="L6" s="29"/>
    </row>
    <row r="7" spans="2:12" x14ac:dyDescent="0.2">
      <c r="B7" s="37"/>
      <c r="C7" s="63" t="s">
        <v>3</v>
      </c>
      <c r="D7" s="41">
        <v>2.2999999999999998</v>
      </c>
      <c r="E7" s="40"/>
      <c r="F7" s="38"/>
      <c r="G7" s="38"/>
      <c r="H7" s="38"/>
      <c r="I7" s="38"/>
      <c r="J7" s="38"/>
      <c r="K7" s="40"/>
      <c r="L7" s="29"/>
    </row>
    <row r="8" spans="2:12" x14ac:dyDescent="0.2">
      <c r="B8" s="37"/>
      <c r="C8" s="63" t="s">
        <v>4</v>
      </c>
      <c r="D8" s="42">
        <f>D6*D7</f>
        <v>1150</v>
      </c>
      <c r="E8" s="40"/>
      <c r="F8" s="38"/>
      <c r="G8" s="38"/>
      <c r="H8" s="38"/>
      <c r="I8" s="38"/>
      <c r="J8" s="38"/>
      <c r="K8" s="40"/>
      <c r="L8" s="29"/>
    </row>
    <row r="9" spans="2:12" x14ac:dyDescent="0.2">
      <c r="B9" s="37"/>
      <c r="C9" s="63" t="s">
        <v>5</v>
      </c>
      <c r="D9" s="42">
        <v>10</v>
      </c>
      <c r="E9" s="40"/>
      <c r="F9" s="38"/>
      <c r="G9" s="38"/>
      <c r="H9" s="38"/>
      <c r="I9" s="38"/>
      <c r="J9" s="38"/>
      <c r="K9" s="40"/>
      <c r="L9" s="29"/>
    </row>
    <row r="10" spans="2:12" x14ac:dyDescent="0.2">
      <c r="B10" s="37"/>
      <c r="C10" s="63" t="s">
        <v>6</v>
      </c>
      <c r="D10" s="42">
        <f>D8*D9</f>
        <v>11500</v>
      </c>
      <c r="E10" s="40"/>
      <c r="F10" s="38"/>
      <c r="G10" s="38"/>
      <c r="H10" s="38"/>
      <c r="I10" s="38"/>
      <c r="J10" s="38"/>
      <c r="K10" s="40"/>
      <c r="L10" s="29"/>
    </row>
    <row r="11" spans="2:12" x14ac:dyDescent="0.2">
      <c r="B11" s="37"/>
      <c r="C11" s="63" t="s">
        <v>7</v>
      </c>
      <c r="D11" s="43" t="s">
        <v>8</v>
      </c>
      <c r="E11" s="40"/>
      <c r="F11" s="38"/>
      <c r="G11" s="38"/>
      <c r="H11" s="38"/>
      <c r="I11" s="38"/>
      <c r="J11" s="38"/>
      <c r="K11" s="40"/>
      <c r="L11" s="29"/>
    </row>
    <row r="12" spans="2:12" x14ac:dyDescent="0.2">
      <c r="B12" s="37"/>
      <c r="C12" s="63" t="s">
        <v>37</v>
      </c>
      <c r="D12" s="9" t="s">
        <v>40</v>
      </c>
      <c r="E12" s="40"/>
      <c r="F12" s="38"/>
      <c r="G12" s="38"/>
      <c r="H12" s="38"/>
      <c r="I12" s="38"/>
      <c r="J12" s="38"/>
      <c r="K12" s="40"/>
      <c r="L12" s="29"/>
    </row>
    <row r="13" spans="2:12" x14ac:dyDescent="0.2">
      <c r="B13" s="37"/>
      <c r="C13" s="64" t="s">
        <v>10</v>
      </c>
      <c r="D13" s="38"/>
      <c r="E13" s="40"/>
      <c r="F13" s="38"/>
      <c r="G13" s="38"/>
      <c r="H13" s="38"/>
      <c r="I13" s="38"/>
      <c r="J13" s="38"/>
      <c r="K13" s="40"/>
      <c r="L13" s="29"/>
    </row>
    <row r="14" spans="2:12" x14ac:dyDescent="0.2">
      <c r="B14" s="37"/>
      <c r="C14" s="65" t="s">
        <v>11</v>
      </c>
      <c r="D14" s="70">
        <v>0</v>
      </c>
      <c r="E14" s="40"/>
      <c r="F14" s="38"/>
      <c r="G14" s="38"/>
      <c r="H14" s="38"/>
      <c r="I14" s="38"/>
      <c r="J14" s="38"/>
      <c r="K14" s="40"/>
      <c r="L14" s="29"/>
    </row>
    <row r="15" spans="2:12" x14ac:dyDescent="0.2">
      <c r="B15" s="37"/>
      <c r="C15" s="65" t="s">
        <v>12</v>
      </c>
      <c r="D15" s="70">
        <v>0</v>
      </c>
      <c r="E15" s="40"/>
      <c r="F15" s="38"/>
      <c r="G15" s="38"/>
      <c r="H15" s="38"/>
      <c r="I15" s="38"/>
      <c r="J15" s="38"/>
      <c r="K15" s="40"/>
      <c r="L15" s="29"/>
    </row>
    <row r="16" spans="2:12" x14ac:dyDescent="0.2">
      <c r="B16" s="37"/>
      <c r="C16" s="65" t="s">
        <v>38</v>
      </c>
      <c r="D16" s="92">
        <v>0.01</v>
      </c>
      <c r="E16" s="40"/>
      <c r="F16" s="38"/>
      <c r="G16" s="38"/>
      <c r="H16" s="38"/>
      <c r="I16" s="38"/>
      <c r="J16" s="38"/>
      <c r="K16" s="40"/>
      <c r="L16" s="29"/>
    </row>
    <row r="17" spans="2:13" x14ac:dyDescent="0.2">
      <c r="B17" s="37"/>
      <c r="C17" s="65" t="s">
        <v>39</v>
      </c>
      <c r="D17" s="94">
        <f>D16*8460.17</f>
        <v>84.601700000000008</v>
      </c>
      <c r="E17" s="40"/>
      <c r="F17" s="38"/>
      <c r="G17" s="38"/>
      <c r="H17" s="38"/>
      <c r="I17" s="38"/>
      <c r="J17" s="38"/>
      <c r="K17" s="40"/>
      <c r="L17" s="29"/>
    </row>
    <row r="18" spans="2:13" ht="17" thickBot="1" x14ac:dyDescent="0.25">
      <c r="B18" s="37"/>
      <c r="C18" s="66"/>
      <c r="D18" s="93"/>
      <c r="E18" s="59"/>
      <c r="F18" s="38"/>
      <c r="G18" s="38"/>
      <c r="H18" s="38"/>
      <c r="I18" s="38"/>
      <c r="J18" s="38"/>
      <c r="K18" s="40"/>
      <c r="L18" s="29"/>
    </row>
    <row r="19" spans="2:13" x14ac:dyDescent="0.2">
      <c r="B19" s="37"/>
      <c r="C19" s="38"/>
      <c r="D19" s="38"/>
      <c r="E19" s="38"/>
      <c r="F19" s="38"/>
      <c r="G19" s="38"/>
      <c r="H19" s="38"/>
      <c r="I19" s="38"/>
      <c r="J19" s="38"/>
      <c r="K19" s="40"/>
      <c r="L19" s="29"/>
    </row>
    <row r="20" spans="2:13" ht="17" thickBot="1" x14ac:dyDescent="0.25">
      <c r="B20" s="37"/>
      <c r="C20" s="38"/>
      <c r="D20" s="38"/>
      <c r="E20" s="38"/>
      <c r="F20" s="38"/>
      <c r="G20" s="38"/>
      <c r="H20" s="38"/>
      <c r="I20" s="38"/>
      <c r="J20" s="38"/>
      <c r="K20" s="40"/>
      <c r="L20" s="29"/>
    </row>
    <row r="21" spans="2:13" x14ac:dyDescent="0.2">
      <c r="B21" s="37"/>
      <c r="C21" s="106" t="s">
        <v>18</v>
      </c>
      <c r="D21" s="107"/>
      <c r="E21" s="108"/>
      <c r="F21" s="81"/>
      <c r="G21" s="72"/>
      <c r="H21" s="72"/>
      <c r="I21" s="72"/>
      <c r="J21" s="72"/>
      <c r="K21" s="88"/>
      <c r="L21" s="29"/>
    </row>
    <row r="22" spans="2:13" ht="16" customHeight="1" x14ac:dyDescent="0.2">
      <c r="B22" s="37"/>
      <c r="C22" s="109" t="s">
        <v>22</v>
      </c>
      <c r="D22" s="110"/>
      <c r="E22" s="111"/>
      <c r="F22" s="73"/>
      <c r="G22" s="98"/>
      <c r="H22" s="98"/>
      <c r="I22" s="44"/>
      <c r="J22" s="98"/>
      <c r="K22" s="99"/>
      <c r="L22" s="29"/>
    </row>
    <row r="23" spans="2:13" x14ac:dyDescent="0.2">
      <c r="B23" s="37"/>
      <c r="C23" s="82" t="s">
        <v>24</v>
      </c>
      <c r="D23" s="83">
        <f>D10*'Background - No'!I4</f>
        <v>976042.88187071704</v>
      </c>
      <c r="E23" s="79"/>
      <c r="F23" s="44"/>
      <c r="G23" s="74"/>
      <c r="H23" s="75"/>
      <c r="I23" s="44"/>
      <c r="J23" s="74"/>
      <c r="K23" s="89"/>
      <c r="L23" s="29"/>
    </row>
    <row r="24" spans="2:13" x14ac:dyDescent="0.2">
      <c r="B24" s="37"/>
      <c r="C24" s="48" t="s">
        <v>25</v>
      </c>
      <c r="D24" s="46">
        <f>(D10*'Background - No'!J5*D15)+(D10*'Background - No'!K5*D14)</f>
        <v>0</v>
      </c>
      <c r="E24" s="79"/>
      <c r="F24" s="44"/>
      <c r="G24" s="76"/>
      <c r="H24" s="75"/>
      <c r="I24" s="44"/>
      <c r="J24" s="76"/>
      <c r="K24" s="89"/>
      <c r="L24" s="29"/>
    </row>
    <row r="25" spans="2:13" x14ac:dyDescent="0.2">
      <c r="B25" s="37"/>
      <c r="C25" s="48" t="s">
        <v>26</v>
      </c>
      <c r="D25" s="46">
        <f>D23-D24</f>
        <v>976042.88187071704</v>
      </c>
      <c r="E25" s="79"/>
      <c r="F25" s="44"/>
      <c r="G25" s="76"/>
      <c r="H25" s="75"/>
      <c r="I25" s="44"/>
      <c r="J25" s="76"/>
      <c r="K25" s="89"/>
      <c r="L25" s="29"/>
    </row>
    <row r="26" spans="2:13" x14ac:dyDescent="0.2">
      <c r="B26" s="37"/>
      <c r="C26" s="48" t="s">
        <v>27</v>
      </c>
      <c r="D26" s="46">
        <f>D10*'Background - No'!I7</f>
        <v>350115.06921589363</v>
      </c>
      <c r="E26" s="79"/>
      <c r="F26" s="44"/>
      <c r="G26" s="91" t="s">
        <v>32</v>
      </c>
      <c r="H26" s="78"/>
      <c r="I26" s="44"/>
      <c r="J26" s="76"/>
      <c r="K26" s="89"/>
      <c r="L26" s="29"/>
      <c r="M26" s="60"/>
    </row>
    <row r="27" spans="2:13" x14ac:dyDescent="0.2">
      <c r="B27" s="37"/>
      <c r="C27" s="45" t="s">
        <v>28</v>
      </c>
      <c r="D27" s="51">
        <f>D23/$D$8/12</f>
        <v>70.727745063095441</v>
      </c>
      <c r="E27" s="79"/>
      <c r="F27" s="44"/>
      <c r="G27" s="91" t="s">
        <v>33</v>
      </c>
      <c r="H27" s="78"/>
      <c r="I27" s="44"/>
      <c r="J27" s="74"/>
      <c r="K27" s="90"/>
      <c r="L27" s="29"/>
      <c r="M27" s="60"/>
    </row>
    <row r="28" spans="2:13" ht="17" thickBot="1" x14ac:dyDescent="0.25">
      <c r="B28" s="37"/>
      <c r="C28" s="84" t="s">
        <v>29</v>
      </c>
      <c r="D28" s="85">
        <f>(D25-D26)/$D$8/12</f>
        <v>45.357087873537928</v>
      </c>
      <c r="E28" s="79"/>
      <c r="F28" s="44"/>
      <c r="G28" s="91" t="s">
        <v>34</v>
      </c>
      <c r="H28" s="78"/>
      <c r="I28" s="44"/>
      <c r="J28" s="74"/>
      <c r="K28" s="90"/>
      <c r="L28" s="29"/>
    </row>
    <row r="29" spans="2:13" ht="17" customHeight="1" thickBot="1" x14ac:dyDescent="0.25">
      <c r="B29" s="37"/>
      <c r="C29" s="95" t="s">
        <v>30</v>
      </c>
      <c r="D29" s="96"/>
      <c r="E29" s="97"/>
      <c r="F29" s="87"/>
      <c r="G29" s="98"/>
      <c r="H29" s="98"/>
      <c r="I29" s="44"/>
      <c r="J29" s="98"/>
      <c r="K29" s="99"/>
      <c r="L29" s="29"/>
    </row>
    <row r="30" spans="2:13" x14ac:dyDescent="0.2">
      <c r="B30" s="37"/>
      <c r="C30" s="82" t="s">
        <v>24</v>
      </c>
      <c r="D30" s="83">
        <f>D10*'Background - No'!I9</f>
        <v>1788746.0695287453</v>
      </c>
      <c r="E30" s="79"/>
      <c r="F30" s="44"/>
      <c r="G30" s="74"/>
      <c r="H30" s="75"/>
      <c r="I30" s="44"/>
      <c r="J30" s="74"/>
      <c r="K30" s="89"/>
      <c r="L30" s="29"/>
    </row>
    <row r="31" spans="2:13" x14ac:dyDescent="0.2">
      <c r="B31" s="37"/>
      <c r="C31" s="48" t="s">
        <v>25</v>
      </c>
      <c r="D31" s="46">
        <f>(D10*'Background - No'!J10*D15)+(D10*'Background - No'!K10*D14)+(D10*'Background - No'!L10*(D16*100))</f>
        <v>6969.5828449115152</v>
      </c>
      <c r="E31" s="79"/>
      <c r="F31" s="44"/>
      <c r="G31" s="76"/>
      <c r="H31" s="75"/>
      <c r="I31" s="44"/>
      <c r="J31" s="76"/>
      <c r="K31" s="89"/>
      <c r="L31" s="29"/>
    </row>
    <row r="32" spans="2:13" x14ac:dyDescent="0.2">
      <c r="B32" s="37"/>
      <c r="C32" s="48" t="s">
        <v>26</v>
      </c>
      <c r="D32" s="53">
        <f>D30-D31</f>
        <v>1781776.4866838336</v>
      </c>
      <c r="E32" s="79"/>
      <c r="F32" s="44"/>
      <c r="G32" s="76"/>
      <c r="H32" s="78"/>
      <c r="I32" s="44"/>
      <c r="J32" s="76"/>
      <c r="K32" s="89"/>
      <c r="L32" s="29"/>
    </row>
    <row r="33" spans="2:12" x14ac:dyDescent="0.2">
      <c r="B33" s="37"/>
      <c r="C33" s="48" t="s">
        <v>27</v>
      </c>
      <c r="D33" s="46">
        <f>D10*'Background - No'!I12</f>
        <v>476471.86573924858</v>
      </c>
      <c r="E33" s="79"/>
      <c r="F33" s="44"/>
      <c r="G33" s="76"/>
      <c r="H33" s="75"/>
      <c r="I33" s="44"/>
      <c r="J33" s="76"/>
      <c r="K33" s="89"/>
      <c r="L33" s="29"/>
    </row>
    <row r="34" spans="2:12" x14ac:dyDescent="0.2">
      <c r="B34" s="37"/>
      <c r="C34" s="45" t="s">
        <v>28</v>
      </c>
      <c r="D34" s="51">
        <f>D30/$D$8/12</f>
        <v>129.6192804006337</v>
      </c>
      <c r="E34" s="79"/>
      <c r="F34" s="44"/>
      <c r="G34" s="74"/>
      <c r="H34" s="77"/>
      <c r="I34" s="44"/>
      <c r="J34" s="74"/>
      <c r="K34" s="90"/>
      <c r="L34" s="29"/>
    </row>
    <row r="35" spans="2:12" ht="17" thickBot="1" x14ac:dyDescent="0.25">
      <c r="B35" s="37"/>
      <c r="C35" s="54" t="s">
        <v>29</v>
      </c>
      <c r="D35" s="67">
        <f>(D32-D33)/$D$8/12</f>
        <v>94.587291372796031</v>
      </c>
      <c r="E35" s="80"/>
      <c r="F35" s="44"/>
      <c r="G35" s="74"/>
      <c r="H35" s="77"/>
      <c r="I35" s="44"/>
      <c r="J35" s="74"/>
      <c r="K35" s="90"/>
      <c r="L35" s="29"/>
    </row>
    <row r="36" spans="2:12" ht="17" thickBot="1" x14ac:dyDescent="0.25">
      <c r="B36" s="57"/>
      <c r="C36" s="58"/>
      <c r="D36" s="58"/>
      <c r="E36" s="58"/>
      <c r="F36" s="58"/>
      <c r="G36" s="58"/>
      <c r="H36" s="58"/>
      <c r="I36" s="58"/>
      <c r="J36" s="58"/>
      <c r="K36" s="59"/>
      <c r="L36" s="29"/>
    </row>
    <row r="37" spans="2:12" x14ac:dyDescent="0.2">
      <c r="B37" s="29"/>
      <c r="C37" s="31"/>
      <c r="D37" s="29"/>
      <c r="E37" s="29"/>
      <c r="F37" s="29"/>
      <c r="G37" s="29"/>
      <c r="H37" s="29"/>
      <c r="I37" s="29"/>
      <c r="J37" s="29"/>
      <c r="K37" s="29"/>
      <c r="L37" s="29"/>
    </row>
    <row r="38" spans="2:12" x14ac:dyDescent="0.2">
      <c r="B38" s="29"/>
      <c r="C38" s="31"/>
      <c r="D38" s="29"/>
      <c r="E38" s="29"/>
      <c r="F38" s="29"/>
      <c r="G38" s="29"/>
      <c r="H38" s="29"/>
      <c r="I38" s="29"/>
      <c r="J38" s="29"/>
      <c r="K38" s="29"/>
      <c r="L38" s="29"/>
    </row>
    <row r="39" spans="2:12" x14ac:dyDescent="0.2">
      <c r="B39" s="29"/>
      <c r="C39" s="31"/>
      <c r="D39" s="29"/>
      <c r="E39" s="29"/>
      <c r="F39" s="29"/>
      <c r="G39" s="29"/>
      <c r="H39" s="32"/>
      <c r="I39" s="29"/>
      <c r="J39" s="32"/>
      <c r="K39" s="29"/>
      <c r="L39" s="29"/>
    </row>
    <row r="40" spans="2:12" x14ac:dyDescent="0.2">
      <c r="C40" s="31"/>
    </row>
  </sheetData>
  <mergeCells count="9">
    <mergeCell ref="C29:E29"/>
    <mergeCell ref="G29:H29"/>
    <mergeCell ref="J29:K29"/>
    <mergeCell ref="C4:E4"/>
    <mergeCell ref="C5:E5"/>
    <mergeCell ref="C21:E21"/>
    <mergeCell ref="C22:E22"/>
    <mergeCell ref="G22:H22"/>
    <mergeCell ref="J22:K22"/>
  </mergeCells>
  <dataValidations count="1">
    <dataValidation type="list" allowBlank="1" showInputMessage="1" showErrorMessage="1" sqref="D12" xr:uid="{C08172E2-724E-F945-AAC4-88E53B9BE89E}">
      <formula1>"Include, Exclude"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5FF17-ABE9-B143-B326-EEF73AFB5E8E}">
  <dimension ref="B2:M40"/>
  <sheetViews>
    <sheetView topLeftCell="A3" zoomScaleNormal="100" workbookViewId="0">
      <selection activeCell="F38" sqref="F38"/>
    </sheetView>
  </sheetViews>
  <sheetFormatPr baseColWidth="10" defaultRowHeight="16" x14ac:dyDescent="0.2"/>
  <cols>
    <col min="1" max="1" width="6.5" style="30" customWidth="1"/>
    <col min="2" max="2" width="6" style="30" customWidth="1"/>
    <col min="3" max="3" width="25.5" style="30" customWidth="1"/>
    <col min="4" max="4" width="13.6640625" style="30" bestFit="1" customWidth="1"/>
    <col min="5" max="6" width="6.5" style="30" customWidth="1"/>
    <col min="7" max="7" width="17" style="30" bestFit="1" customWidth="1"/>
    <col min="8" max="8" width="12.1640625" style="30" bestFit="1" customWidth="1"/>
    <col min="9" max="9" width="6.1640625" style="30" customWidth="1"/>
    <col min="10" max="10" width="17" style="30" bestFit="1" customWidth="1"/>
    <col min="11" max="11" width="13.6640625" style="30" customWidth="1"/>
    <col min="12" max="12" width="10.83203125" style="30"/>
    <col min="13" max="13" width="12.5" style="30" bestFit="1" customWidth="1"/>
    <col min="14" max="16384" width="10.83203125" style="30"/>
  </cols>
  <sheetData>
    <row r="2" spans="2:12" ht="17" thickBot="1" x14ac:dyDescent="0.25"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2:12" ht="17" thickBot="1" x14ac:dyDescent="0.25">
      <c r="B3" s="34"/>
      <c r="C3" s="35"/>
      <c r="D3" s="35"/>
      <c r="E3" s="35"/>
      <c r="F3" s="35"/>
      <c r="G3" s="35"/>
      <c r="H3" s="35"/>
      <c r="I3" s="35"/>
      <c r="J3" s="35"/>
      <c r="K3" s="36"/>
      <c r="L3" s="29"/>
    </row>
    <row r="4" spans="2:12" x14ac:dyDescent="0.2">
      <c r="B4" s="37"/>
      <c r="C4" s="100" t="s">
        <v>0</v>
      </c>
      <c r="D4" s="101"/>
      <c r="E4" s="102"/>
      <c r="F4" s="86"/>
      <c r="G4" s="38"/>
      <c r="H4" s="39"/>
      <c r="I4" s="39"/>
      <c r="J4" s="39"/>
      <c r="K4" s="40"/>
      <c r="L4" s="29"/>
    </row>
    <row r="5" spans="2:12" x14ac:dyDescent="0.2">
      <c r="B5" s="37"/>
      <c r="C5" s="103" t="s">
        <v>1</v>
      </c>
      <c r="D5" s="104"/>
      <c r="E5" s="105"/>
      <c r="F5" s="81"/>
      <c r="G5" s="38"/>
      <c r="H5" s="38"/>
      <c r="I5" s="38"/>
      <c r="J5" s="38"/>
      <c r="K5" s="40"/>
      <c r="L5" s="29"/>
    </row>
    <row r="6" spans="2:12" x14ac:dyDescent="0.2">
      <c r="B6" s="37"/>
      <c r="C6" s="61" t="s">
        <v>2</v>
      </c>
      <c r="D6" s="69">
        <v>500</v>
      </c>
      <c r="E6" s="62"/>
      <c r="F6" s="38"/>
      <c r="G6" s="38"/>
      <c r="H6" s="38"/>
      <c r="I6" s="38"/>
      <c r="J6" s="38"/>
      <c r="K6" s="40"/>
      <c r="L6" s="29"/>
    </row>
    <row r="7" spans="2:12" x14ac:dyDescent="0.2">
      <c r="B7" s="37"/>
      <c r="C7" s="63" t="s">
        <v>3</v>
      </c>
      <c r="D7" s="41">
        <v>2.2999999999999998</v>
      </c>
      <c r="E7" s="40"/>
      <c r="F7" s="38"/>
      <c r="G7" s="38"/>
      <c r="H7" s="38"/>
      <c r="I7" s="38"/>
      <c r="J7" s="38"/>
      <c r="K7" s="40"/>
      <c r="L7" s="29"/>
    </row>
    <row r="8" spans="2:12" x14ac:dyDescent="0.2">
      <c r="B8" s="37"/>
      <c r="C8" s="63" t="s">
        <v>4</v>
      </c>
      <c r="D8" s="42">
        <f>D6*D7</f>
        <v>1150</v>
      </c>
      <c r="E8" s="40"/>
      <c r="F8" s="38"/>
      <c r="G8" s="38"/>
      <c r="H8" s="38"/>
      <c r="I8" s="38"/>
      <c r="J8" s="38"/>
      <c r="K8" s="40"/>
      <c r="L8" s="29"/>
    </row>
    <row r="9" spans="2:12" x14ac:dyDescent="0.2">
      <c r="B9" s="37"/>
      <c r="C9" s="63" t="s">
        <v>5</v>
      </c>
      <c r="D9" s="42">
        <v>10</v>
      </c>
      <c r="E9" s="40"/>
      <c r="F9" s="38"/>
      <c r="G9" s="38"/>
      <c r="H9" s="38"/>
      <c r="I9" s="38"/>
      <c r="J9" s="38"/>
      <c r="K9" s="40"/>
      <c r="L9" s="29"/>
    </row>
    <row r="10" spans="2:12" x14ac:dyDescent="0.2">
      <c r="B10" s="37"/>
      <c r="C10" s="63" t="s">
        <v>6</v>
      </c>
      <c r="D10" s="42">
        <f>D8*D9</f>
        <v>11500</v>
      </c>
      <c r="E10" s="40"/>
      <c r="F10" s="38"/>
      <c r="G10" s="38"/>
      <c r="H10" s="38"/>
      <c r="I10" s="38"/>
      <c r="J10" s="38"/>
      <c r="K10" s="40"/>
      <c r="L10" s="29"/>
    </row>
    <row r="11" spans="2:12" x14ac:dyDescent="0.2">
      <c r="B11" s="37"/>
      <c r="C11" s="63" t="s">
        <v>7</v>
      </c>
      <c r="D11" s="43" t="s">
        <v>8</v>
      </c>
      <c r="E11" s="40"/>
      <c r="F11" s="38"/>
      <c r="G11" s="38"/>
      <c r="H11" s="38"/>
      <c r="I11" s="38"/>
      <c r="J11" s="38"/>
      <c r="K11" s="40"/>
      <c r="L11" s="29"/>
    </row>
    <row r="12" spans="2:12" x14ac:dyDescent="0.2">
      <c r="B12" s="37"/>
      <c r="C12" s="63" t="s">
        <v>37</v>
      </c>
      <c r="D12" s="9" t="s">
        <v>43</v>
      </c>
      <c r="E12" s="40"/>
      <c r="F12" s="38"/>
      <c r="G12" s="38"/>
      <c r="H12" s="38"/>
      <c r="I12" s="38"/>
      <c r="J12" s="38"/>
      <c r="K12" s="40"/>
      <c r="L12" s="29"/>
    </row>
    <row r="13" spans="2:12" x14ac:dyDescent="0.2">
      <c r="B13" s="37"/>
      <c r="C13" s="64" t="s">
        <v>10</v>
      </c>
      <c r="D13" s="38"/>
      <c r="E13" s="40"/>
      <c r="F13" s="38"/>
      <c r="G13" s="38"/>
      <c r="H13" s="38"/>
      <c r="I13" s="38"/>
      <c r="J13" s="38"/>
      <c r="K13" s="40"/>
      <c r="L13" s="29"/>
    </row>
    <row r="14" spans="2:12" x14ac:dyDescent="0.2">
      <c r="B14" s="37"/>
      <c r="C14" s="65" t="s">
        <v>11</v>
      </c>
      <c r="D14" s="70">
        <v>0</v>
      </c>
      <c r="E14" s="40"/>
      <c r="F14" s="38"/>
      <c r="G14" s="38"/>
      <c r="H14" s="38"/>
      <c r="I14" s="38"/>
      <c r="J14" s="38"/>
      <c r="K14" s="40"/>
      <c r="L14" s="29"/>
    </row>
    <row r="15" spans="2:12" x14ac:dyDescent="0.2">
      <c r="B15" s="37"/>
      <c r="C15" s="65" t="s">
        <v>12</v>
      </c>
      <c r="D15" s="70">
        <v>0</v>
      </c>
      <c r="E15" s="40"/>
      <c r="F15" s="38"/>
      <c r="G15" s="38"/>
      <c r="H15" s="38"/>
      <c r="I15" s="38"/>
      <c r="J15" s="38"/>
      <c r="K15" s="40"/>
      <c r="L15" s="29"/>
    </row>
    <row r="16" spans="2:12" x14ac:dyDescent="0.2">
      <c r="B16" s="37"/>
      <c r="C16" s="65" t="s">
        <v>38</v>
      </c>
      <c r="D16" s="92">
        <v>0.01</v>
      </c>
      <c r="E16" s="40"/>
      <c r="F16" s="38"/>
      <c r="G16" s="38"/>
      <c r="H16" s="38"/>
      <c r="I16" s="38"/>
      <c r="J16" s="38"/>
      <c r="K16" s="40"/>
      <c r="L16" s="29"/>
    </row>
    <row r="17" spans="2:13" x14ac:dyDescent="0.2">
      <c r="B17" s="37"/>
      <c r="C17" s="65" t="s">
        <v>39</v>
      </c>
      <c r="D17" s="94">
        <f>D16*8460.17</f>
        <v>84.601700000000008</v>
      </c>
      <c r="E17" s="40"/>
      <c r="F17" s="38"/>
      <c r="G17" s="38"/>
      <c r="H17" s="38"/>
      <c r="I17" s="38"/>
      <c r="J17" s="38"/>
      <c r="K17" s="40"/>
      <c r="L17" s="29"/>
    </row>
    <row r="18" spans="2:13" ht="17" thickBot="1" x14ac:dyDescent="0.25">
      <c r="B18" s="37"/>
      <c r="C18" s="66"/>
      <c r="D18" s="93"/>
      <c r="E18" s="59"/>
      <c r="F18" s="38"/>
      <c r="G18" s="38"/>
      <c r="H18" s="38"/>
      <c r="I18" s="38"/>
      <c r="J18" s="38"/>
      <c r="K18" s="40"/>
      <c r="L18" s="29"/>
    </row>
    <row r="19" spans="2:13" x14ac:dyDescent="0.2">
      <c r="B19" s="37"/>
      <c r="C19" s="38"/>
      <c r="D19" s="38"/>
      <c r="E19" s="38"/>
      <c r="F19" s="38"/>
      <c r="G19" s="38"/>
      <c r="H19" s="38"/>
      <c r="I19" s="38"/>
      <c r="J19" s="38"/>
      <c r="K19" s="40"/>
      <c r="L19" s="29"/>
    </row>
    <row r="20" spans="2:13" ht="17" thickBot="1" x14ac:dyDescent="0.25">
      <c r="B20" s="37"/>
      <c r="C20" s="38"/>
      <c r="D20" s="38"/>
      <c r="E20" s="38"/>
      <c r="F20" s="38"/>
      <c r="G20" s="38"/>
      <c r="H20" s="38"/>
      <c r="I20" s="38"/>
      <c r="J20" s="38"/>
      <c r="K20" s="40"/>
      <c r="L20" s="29"/>
    </row>
    <row r="21" spans="2:13" x14ac:dyDescent="0.2">
      <c r="B21" s="37"/>
      <c r="C21" s="106" t="s">
        <v>18</v>
      </c>
      <c r="D21" s="107"/>
      <c r="E21" s="108"/>
      <c r="F21" s="81"/>
      <c r="G21" s="72"/>
      <c r="H21" s="72"/>
      <c r="I21" s="72"/>
      <c r="J21" s="72"/>
      <c r="K21" s="88"/>
      <c r="L21" s="29"/>
    </row>
    <row r="22" spans="2:13" ht="16" customHeight="1" x14ac:dyDescent="0.2">
      <c r="B22" s="37"/>
      <c r="C22" s="109" t="s">
        <v>22</v>
      </c>
      <c r="D22" s="110"/>
      <c r="E22" s="111"/>
      <c r="F22" s="73"/>
      <c r="G22" s="98"/>
      <c r="H22" s="98"/>
      <c r="I22" s="44"/>
      <c r="J22" s="98"/>
      <c r="K22" s="99"/>
      <c r="L22" s="29"/>
    </row>
    <row r="23" spans="2:13" x14ac:dyDescent="0.2">
      <c r="B23" s="37"/>
      <c r="C23" s="82" t="s">
        <v>24</v>
      </c>
      <c r="D23" s="83">
        <f>D10*'Background - Yes'!I4</f>
        <v>1272277.889117942</v>
      </c>
      <c r="E23" s="79"/>
      <c r="F23" s="44"/>
      <c r="G23" s="74"/>
      <c r="H23" s="75"/>
      <c r="I23" s="44"/>
      <c r="J23" s="74"/>
      <c r="K23" s="89"/>
      <c r="L23" s="29"/>
    </row>
    <row r="24" spans="2:13" x14ac:dyDescent="0.2">
      <c r="B24" s="37"/>
      <c r="C24" s="48" t="s">
        <v>25</v>
      </c>
      <c r="D24" s="46">
        <f>(D10*'Background - Yes'!J5*D15)+(D10*'Background - Yes'!K5*D14)</f>
        <v>0</v>
      </c>
      <c r="E24" s="79"/>
      <c r="F24" s="44"/>
      <c r="G24" s="76"/>
      <c r="H24" s="75"/>
      <c r="I24" s="44"/>
      <c r="J24" s="76"/>
      <c r="K24" s="89"/>
      <c r="L24" s="29"/>
    </row>
    <row r="25" spans="2:13" x14ac:dyDescent="0.2">
      <c r="B25" s="37"/>
      <c r="C25" s="48" t="s">
        <v>26</v>
      </c>
      <c r="D25" s="46">
        <f>D23-D24</f>
        <v>1272277.889117942</v>
      </c>
      <c r="E25" s="79"/>
      <c r="F25" s="44"/>
      <c r="G25" s="76"/>
      <c r="H25" s="75"/>
      <c r="I25" s="44"/>
      <c r="J25" s="76"/>
      <c r="K25" s="89"/>
      <c r="L25" s="29"/>
    </row>
    <row r="26" spans="2:13" x14ac:dyDescent="0.2">
      <c r="B26" s="37"/>
      <c r="C26" s="48" t="s">
        <v>27</v>
      </c>
      <c r="D26" s="46">
        <f>D10*'Background - Yes'!I7</f>
        <v>536969.28447245783</v>
      </c>
      <c r="E26" s="79"/>
      <c r="F26" s="44"/>
      <c r="G26" s="91" t="s">
        <v>32</v>
      </c>
      <c r="H26" s="78"/>
      <c r="I26" s="44"/>
      <c r="J26" s="76"/>
      <c r="K26" s="89"/>
      <c r="L26" s="29"/>
      <c r="M26" s="60"/>
    </row>
    <row r="27" spans="2:13" x14ac:dyDescent="0.2">
      <c r="B27" s="37"/>
      <c r="C27" s="45" t="s">
        <v>28</v>
      </c>
      <c r="D27" s="51">
        <f>D23/$D$8/12</f>
        <v>92.194049936082749</v>
      </c>
      <c r="E27" s="79"/>
      <c r="F27" s="44"/>
      <c r="G27" s="91" t="s">
        <v>33</v>
      </c>
      <c r="H27" s="78"/>
      <c r="I27" s="44"/>
      <c r="J27" s="74"/>
      <c r="K27" s="90"/>
      <c r="L27" s="29"/>
      <c r="M27" s="60"/>
    </row>
    <row r="28" spans="2:13" ht="17" thickBot="1" x14ac:dyDescent="0.25">
      <c r="B28" s="37"/>
      <c r="C28" s="84" t="s">
        <v>29</v>
      </c>
      <c r="D28" s="85">
        <f>(D25-D26)/$D$8/12</f>
        <v>53.28323222068726</v>
      </c>
      <c r="E28" s="79"/>
      <c r="F28" s="44"/>
      <c r="G28" s="91" t="s">
        <v>34</v>
      </c>
      <c r="H28" s="78"/>
      <c r="I28" s="44"/>
      <c r="J28" s="74"/>
      <c r="K28" s="90"/>
      <c r="L28" s="29"/>
    </row>
    <row r="29" spans="2:13" ht="17" customHeight="1" thickBot="1" x14ac:dyDescent="0.25">
      <c r="B29" s="37"/>
      <c r="C29" s="95" t="s">
        <v>30</v>
      </c>
      <c r="D29" s="96"/>
      <c r="E29" s="97"/>
      <c r="F29" s="87"/>
      <c r="G29" s="98"/>
      <c r="H29" s="98"/>
      <c r="I29" s="44"/>
      <c r="J29" s="98"/>
      <c r="K29" s="99"/>
      <c r="L29" s="29"/>
    </row>
    <row r="30" spans="2:13" x14ac:dyDescent="0.2">
      <c r="B30" s="37"/>
      <c r="C30" s="82" t="s">
        <v>24</v>
      </c>
      <c r="D30" s="83">
        <f>D10*'Background - Yes'!I9</f>
        <v>2084454.6025303667</v>
      </c>
      <c r="E30" s="79"/>
      <c r="F30" s="44"/>
      <c r="G30" s="74"/>
      <c r="H30" s="75"/>
      <c r="I30" s="44"/>
      <c r="J30" s="74"/>
      <c r="K30" s="89"/>
      <c r="L30" s="29"/>
    </row>
    <row r="31" spans="2:13" x14ac:dyDescent="0.2">
      <c r="B31" s="37"/>
      <c r="C31" s="48" t="s">
        <v>25</v>
      </c>
      <c r="D31" s="46">
        <f>(D10*'Background - Yes'!J10*D15)+(D10*'Background - Yes'!K10*D14)+(D10*'Background - Yes'!L10*(D16*100))</f>
        <v>8121.7671341242503</v>
      </c>
      <c r="E31" s="79"/>
      <c r="F31" s="44"/>
      <c r="G31" s="76"/>
      <c r="H31" s="75"/>
      <c r="I31" s="44"/>
      <c r="J31" s="76"/>
      <c r="K31" s="89"/>
      <c r="L31" s="29"/>
    </row>
    <row r="32" spans="2:13" x14ac:dyDescent="0.2">
      <c r="B32" s="37"/>
      <c r="C32" s="48" t="s">
        <v>26</v>
      </c>
      <c r="D32" s="53">
        <f>D30-D31</f>
        <v>2076332.8353962426</v>
      </c>
      <c r="E32" s="79"/>
      <c r="F32" s="44"/>
      <c r="G32" s="76"/>
      <c r="H32" s="78"/>
      <c r="I32" s="44"/>
      <c r="J32" s="76"/>
      <c r="K32" s="89"/>
      <c r="L32" s="29"/>
    </row>
    <row r="33" spans="2:12" x14ac:dyDescent="0.2">
      <c r="B33" s="37"/>
      <c r="C33" s="48" t="s">
        <v>27</v>
      </c>
      <c r="D33" s="46">
        <f>D10*'Background - Yes'!I12</f>
        <v>728840.5</v>
      </c>
      <c r="E33" s="79"/>
      <c r="F33" s="44"/>
      <c r="G33" s="76"/>
      <c r="H33" s="75"/>
      <c r="I33" s="44"/>
      <c r="J33" s="76"/>
      <c r="K33" s="89"/>
      <c r="L33" s="29"/>
    </row>
    <row r="34" spans="2:12" x14ac:dyDescent="0.2">
      <c r="B34" s="37"/>
      <c r="C34" s="45" t="s">
        <v>28</v>
      </c>
      <c r="D34" s="51">
        <f>D30/$D$8/12</f>
        <v>151.04743496596862</v>
      </c>
      <c r="E34" s="79"/>
      <c r="F34" s="44"/>
      <c r="G34" s="74"/>
      <c r="H34" s="77"/>
      <c r="I34" s="44"/>
      <c r="J34" s="74"/>
      <c r="K34" s="90"/>
      <c r="L34" s="29"/>
    </row>
    <row r="35" spans="2:12" ht="17" thickBot="1" x14ac:dyDescent="0.25">
      <c r="B35" s="37"/>
      <c r="C35" s="54" t="s">
        <v>29</v>
      </c>
      <c r="D35" s="67">
        <f>(D32-D33)/$D$8/12</f>
        <v>97.644372130162495</v>
      </c>
      <c r="E35" s="80"/>
      <c r="F35" s="44"/>
      <c r="G35" s="74"/>
      <c r="H35" s="77"/>
      <c r="I35" s="44"/>
      <c r="J35" s="74"/>
      <c r="K35" s="90"/>
      <c r="L35" s="29"/>
    </row>
    <row r="36" spans="2:12" ht="17" thickBot="1" x14ac:dyDescent="0.25">
      <c r="B36" s="57"/>
      <c r="C36" s="58"/>
      <c r="D36" s="58"/>
      <c r="E36" s="58"/>
      <c r="F36" s="58"/>
      <c r="G36" s="58"/>
      <c r="H36" s="58"/>
      <c r="I36" s="58"/>
      <c r="J36" s="58"/>
      <c r="K36" s="59"/>
      <c r="L36" s="29"/>
    </row>
    <row r="37" spans="2:12" x14ac:dyDescent="0.2">
      <c r="B37" s="29"/>
      <c r="C37" s="31"/>
      <c r="D37" s="29"/>
      <c r="E37" s="29"/>
      <c r="F37" s="29"/>
      <c r="G37" s="29"/>
      <c r="H37" s="29"/>
      <c r="I37" s="29"/>
      <c r="J37" s="29"/>
      <c r="K37" s="29"/>
      <c r="L37" s="29"/>
    </row>
    <row r="38" spans="2:12" x14ac:dyDescent="0.2">
      <c r="B38" s="29"/>
      <c r="C38" s="31"/>
      <c r="D38" s="29"/>
      <c r="E38" s="29"/>
      <c r="F38" s="29"/>
      <c r="G38" s="29"/>
      <c r="H38" s="29"/>
      <c r="I38" s="29"/>
      <c r="J38" s="29"/>
      <c r="K38" s="29"/>
      <c r="L38" s="29"/>
    </row>
    <row r="39" spans="2:12" x14ac:dyDescent="0.2">
      <c r="B39" s="29"/>
      <c r="C39" s="31"/>
      <c r="D39" s="29"/>
      <c r="E39" s="29"/>
      <c r="F39" s="29"/>
      <c r="G39" s="29"/>
      <c r="H39" s="32"/>
      <c r="I39" s="29"/>
      <c r="J39" s="32"/>
      <c r="K39" s="29"/>
      <c r="L39" s="29"/>
    </row>
    <row r="40" spans="2:12" x14ac:dyDescent="0.2">
      <c r="C40" s="31"/>
    </row>
  </sheetData>
  <mergeCells count="9">
    <mergeCell ref="G22:H22"/>
    <mergeCell ref="J22:K22"/>
    <mergeCell ref="G29:H29"/>
    <mergeCell ref="J29:K29"/>
    <mergeCell ref="C4:E4"/>
    <mergeCell ref="C5:E5"/>
    <mergeCell ref="C21:E21"/>
    <mergeCell ref="C22:E22"/>
    <mergeCell ref="C29:E29"/>
  </mergeCells>
  <dataValidations disablePrompts="1" count="1">
    <dataValidation type="list" allowBlank="1" showInputMessage="1" showErrorMessage="1" sqref="D12" xr:uid="{99E8D448-08BD-5847-9E4C-5715A4207B3C}">
      <formula1>"Include, Exclude"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3ABAE-F0FF-7146-B8AA-6A7D582FE5EF}">
  <dimension ref="B2:M39"/>
  <sheetViews>
    <sheetView workbookViewId="0">
      <selection activeCell="N21" sqref="N21"/>
    </sheetView>
  </sheetViews>
  <sheetFormatPr baseColWidth="10" defaultRowHeight="16" x14ac:dyDescent="0.2"/>
  <cols>
    <col min="1" max="1" width="6.5" style="30" customWidth="1"/>
    <col min="2" max="2" width="6" style="30" customWidth="1"/>
    <col min="3" max="3" width="25.5" style="30" customWidth="1"/>
    <col min="4" max="4" width="13.6640625" style="30" bestFit="1" customWidth="1"/>
    <col min="5" max="5" width="6.5" style="30" customWidth="1"/>
    <col min="6" max="6" width="17" style="30" bestFit="1" customWidth="1"/>
    <col min="7" max="7" width="12.1640625" style="30" bestFit="1" customWidth="1"/>
    <col min="8" max="8" width="6.1640625" style="30" customWidth="1"/>
    <col min="9" max="9" width="17" style="30" bestFit="1" customWidth="1"/>
    <col min="10" max="10" width="13.6640625" style="30" customWidth="1"/>
    <col min="11" max="11" width="5.83203125" style="30" customWidth="1"/>
    <col min="12" max="12" width="10.83203125" style="30"/>
    <col min="13" max="13" width="12.5" style="30" bestFit="1" customWidth="1"/>
    <col min="14" max="16384" width="10.83203125" style="30"/>
  </cols>
  <sheetData>
    <row r="2" spans="2:12" ht="17" thickBot="1" x14ac:dyDescent="0.25"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2:12" ht="17" thickBot="1" x14ac:dyDescent="0.25">
      <c r="B3" s="34"/>
      <c r="C3" s="35"/>
      <c r="D3" s="35"/>
      <c r="E3" s="35"/>
      <c r="F3" s="35"/>
      <c r="G3" s="35"/>
      <c r="H3" s="35"/>
      <c r="I3" s="35"/>
      <c r="J3" s="35"/>
      <c r="K3" s="36"/>
      <c r="L3" s="29"/>
    </row>
    <row r="4" spans="2:12" x14ac:dyDescent="0.2">
      <c r="B4" s="37"/>
      <c r="C4" s="100" t="s">
        <v>0</v>
      </c>
      <c r="D4" s="101"/>
      <c r="E4" s="102"/>
      <c r="F4" s="38"/>
      <c r="G4" s="39"/>
      <c r="H4" s="39"/>
      <c r="I4" s="39"/>
      <c r="J4" s="38"/>
      <c r="K4" s="40"/>
      <c r="L4" s="29"/>
    </row>
    <row r="5" spans="2:12" x14ac:dyDescent="0.2">
      <c r="B5" s="37"/>
      <c r="C5" s="103" t="s">
        <v>1</v>
      </c>
      <c r="D5" s="104"/>
      <c r="E5" s="105"/>
      <c r="F5" s="38"/>
      <c r="G5" s="38"/>
      <c r="H5" s="38"/>
      <c r="I5" s="38"/>
      <c r="J5" s="38"/>
      <c r="K5" s="40"/>
      <c r="L5" s="29"/>
    </row>
    <row r="6" spans="2:12" x14ac:dyDescent="0.2">
      <c r="B6" s="37"/>
      <c r="C6" s="61" t="s">
        <v>2</v>
      </c>
      <c r="D6" s="69">
        <v>500</v>
      </c>
      <c r="E6" s="62"/>
      <c r="F6" s="38"/>
      <c r="G6" s="38"/>
      <c r="H6" s="38"/>
      <c r="I6" s="38"/>
      <c r="J6" s="38"/>
      <c r="K6" s="40"/>
      <c r="L6" s="29"/>
    </row>
    <row r="7" spans="2:12" x14ac:dyDescent="0.2">
      <c r="B7" s="37"/>
      <c r="C7" s="63" t="s">
        <v>3</v>
      </c>
      <c r="D7" s="41">
        <v>2.2999999999999998</v>
      </c>
      <c r="E7" s="40"/>
      <c r="F7" s="38"/>
      <c r="G7" s="38"/>
      <c r="H7" s="38"/>
      <c r="I7" s="38"/>
      <c r="J7" s="38"/>
      <c r="K7" s="40"/>
      <c r="L7" s="29"/>
    </row>
    <row r="8" spans="2:12" x14ac:dyDescent="0.2">
      <c r="B8" s="37"/>
      <c r="C8" s="63" t="s">
        <v>4</v>
      </c>
      <c r="D8" s="42">
        <f>D6*D7</f>
        <v>1150</v>
      </c>
      <c r="E8" s="40"/>
      <c r="F8" s="38"/>
      <c r="G8" s="38"/>
      <c r="H8" s="38"/>
      <c r="I8" s="38"/>
      <c r="J8" s="38"/>
      <c r="K8" s="40"/>
      <c r="L8" s="29"/>
    </row>
    <row r="9" spans="2:12" x14ac:dyDescent="0.2">
      <c r="B9" s="37"/>
      <c r="C9" s="63" t="s">
        <v>5</v>
      </c>
      <c r="D9" s="42">
        <v>10</v>
      </c>
      <c r="E9" s="40"/>
      <c r="F9" s="38"/>
      <c r="G9" s="38"/>
      <c r="H9" s="38"/>
      <c r="I9" s="38"/>
      <c r="J9" s="38"/>
      <c r="K9" s="40"/>
      <c r="L9" s="29"/>
    </row>
    <row r="10" spans="2:12" x14ac:dyDescent="0.2">
      <c r="B10" s="37"/>
      <c r="C10" s="63" t="s">
        <v>6</v>
      </c>
      <c r="D10" s="42">
        <f>D8*D9</f>
        <v>11500</v>
      </c>
      <c r="E10" s="40"/>
      <c r="F10" s="38"/>
      <c r="G10" s="38"/>
      <c r="H10" s="38"/>
      <c r="I10" s="38"/>
      <c r="J10" s="38"/>
      <c r="K10" s="40"/>
      <c r="L10" s="29"/>
    </row>
    <row r="11" spans="2:12" x14ac:dyDescent="0.2">
      <c r="B11" s="37"/>
      <c r="C11" s="63" t="s">
        <v>7</v>
      </c>
      <c r="D11" s="43" t="s">
        <v>8</v>
      </c>
      <c r="E11" s="40"/>
      <c r="F11" s="38"/>
      <c r="G11" s="38"/>
      <c r="H11" s="38"/>
      <c r="I11" s="38"/>
      <c r="J11" s="38"/>
      <c r="K11" s="40"/>
      <c r="L11" s="29"/>
    </row>
    <row r="12" spans="2:12" x14ac:dyDescent="0.2">
      <c r="B12" s="37"/>
      <c r="C12" s="63" t="s">
        <v>9</v>
      </c>
      <c r="D12" s="10">
        <v>0.01</v>
      </c>
      <c r="E12" s="40"/>
      <c r="F12" s="38"/>
      <c r="G12" s="38"/>
      <c r="H12" s="38"/>
      <c r="I12" s="38"/>
      <c r="J12" s="38"/>
      <c r="K12" s="40"/>
      <c r="L12" s="29"/>
    </row>
    <row r="13" spans="2:12" x14ac:dyDescent="0.2">
      <c r="B13" s="37"/>
      <c r="C13" s="64" t="s">
        <v>10</v>
      </c>
      <c r="D13" s="38"/>
      <c r="E13" s="40"/>
      <c r="F13" s="38"/>
      <c r="G13" s="38"/>
      <c r="H13" s="38"/>
      <c r="I13" s="38"/>
      <c r="J13" s="38"/>
      <c r="K13" s="40"/>
      <c r="L13" s="29"/>
    </row>
    <row r="14" spans="2:12" x14ac:dyDescent="0.2">
      <c r="B14" s="37"/>
      <c r="C14" s="65" t="s">
        <v>11</v>
      </c>
      <c r="D14" s="70">
        <v>50</v>
      </c>
      <c r="E14" s="40"/>
      <c r="F14" s="38"/>
      <c r="G14" s="38"/>
      <c r="H14" s="38"/>
      <c r="I14" s="38"/>
      <c r="J14" s="38"/>
      <c r="K14" s="40"/>
      <c r="L14" s="29"/>
    </row>
    <row r="15" spans="2:12" x14ac:dyDescent="0.2">
      <c r="B15" s="37"/>
      <c r="C15" s="65" t="s">
        <v>12</v>
      </c>
      <c r="D15" s="70">
        <v>20</v>
      </c>
      <c r="E15" s="40"/>
      <c r="F15" s="38"/>
      <c r="G15" s="38"/>
      <c r="H15" s="38"/>
      <c r="I15" s="38"/>
      <c r="J15" s="38"/>
      <c r="K15" s="40"/>
      <c r="L15" s="29"/>
    </row>
    <row r="16" spans="2:12" ht="17" thickBot="1" x14ac:dyDescent="0.25">
      <c r="B16" s="37"/>
      <c r="C16" s="66" t="s">
        <v>13</v>
      </c>
      <c r="D16" s="71">
        <v>150</v>
      </c>
      <c r="E16" s="59"/>
      <c r="F16" s="38"/>
      <c r="G16" s="38"/>
      <c r="H16" s="38"/>
      <c r="I16" s="38"/>
      <c r="J16" s="38"/>
      <c r="K16" s="40"/>
      <c r="L16" s="29"/>
    </row>
    <row r="17" spans="2:13" x14ac:dyDescent="0.2">
      <c r="B17" s="37"/>
      <c r="C17" s="38"/>
      <c r="D17" s="38"/>
      <c r="E17" s="38"/>
      <c r="F17" s="38"/>
      <c r="G17" s="38"/>
      <c r="H17" s="38"/>
      <c r="I17" s="38"/>
      <c r="J17" s="38"/>
      <c r="K17" s="40"/>
      <c r="L17" s="29"/>
    </row>
    <row r="18" spans="2:13" ht="17" thickBot="1" x14ac:dyDescent="0.25">
      <c r="B18" s="37"/>
      <c r="C18" s="38"/>
      <c r="D18" s="38"/>
      <c r="E18" s="38"/>
      <c r="F18" s="38"/>
      <c r="G18" s="38"/>
      <c r="H18" s="38"/>
      <c r="I18" s="38"/>
      <c r="J18" s="38"/>
      <c r="K18" s="40"/>
      <c r="L18" s="29"/>
    </row>
    <row r="19" spans="2:13" x14ac:dyDescent="0.2">
      <c r="B19" s="37"/>
      <c r="C19" s="112" t="s">
        <v>18</v>
      </c>
      <c r="D19" s="113"/>
      <c r="E19" s="113"/>
      <c r="F19" s="113"/>
      <c r="G19" s="113"/>
      <c r="H19" s="113"/>
      <c r="I19" s="113"/>
      <c r="J19" s="114"/>
      <c r="K19" s="40"/>
      <c r="L19" s="29"/>
    </row>
    <row r="20" spans="2:13" x14ac:dyDescent="0.2">
      <c r="B20" s="37"/>
      <c r="C20" s="115" t="s">
        <v>19</v>
      </c>
      <c r="D20" s="116"/>
      <c r="E20" s="116"/>
      <c r="F20" s="116" t="s">
        <v>20</v>
      </c>
      <c r="G20" s="116"/>
      <c r="H20" s="116"/>
      <c r="I20" s="116" t="s">
        <v>21</v>
      </c>
      <c r="J20" s="117"/>
      <c r="K20" s="40"/>
      <c r="L20" s="29"/>
    </row>
    <row r="21" spans="2:13" x14ac:dyDescent="0.2">
      <c r="B21" s="37"/>
      <c r="C21" s="118" t="s">
        <v>22</v>
      </c>
      <c r="D21" s="119"/>
      <c r="E21" s="44"/>
      <c r="F21" s="119" t="s">
        <v>22</v>
      </c>
      <c r="G21" s="119"/>
      <c r="H21" s="44"/>
      <c r="I21" s="119" t="s">
        <v>22</v>
      </c>
      <c r="J21" s="120"/>
      <c r="K21" s="40"/>
      <c r="L21" s="29"/>
    </row>
    <row r="22" spans="2:13" x14ac:dyDescent="0.2">
      <c r="B22" s="37"/>
      <c r="C22" s="45" t="s">
        <v>24</v>
      </c>
      <c r="D22" s="46">
        <f>D10*'Background - Yes'!I4</f>
        <v>1272277.889117942</v>
      </c>
      <c r="E22" s="44"/>
      <c r="F22" s="47" t="s">
        <v>24</v>
      </c>
      <c r="G22" s="46">
        <f>D22*('Background - Yes'!$I$20+($D$12-1%))</f>
        <v>1382758.601689677</v>
      </c>
      <c r="H22" s="44"/>
      <c r="I22" s="47" t="s">
        <v>24</v>
      </c>
      <c r="J22" s="50">
        <f>G22*('Background - Yes'!$J$20+($D$12-1%))</f>
        <v>1519734.6887695657</v>
      </c>
      <c r="K22" s="40"/>
      <c r="L22" s="29"/>
    </row>
    <row r="23" spans="2:13" x14ac:dyDescent="0.2">
      <c r="B23" s="37"/>
      <c r="C23" s="48" t="s">
        <v>25</v>
      </c>
      <c r="D23" s="46">
        <f>(D10*'Background - Yes'!J5*D15)+(D10*'Background - Yes'!K5*D14)</f>
        <v>161847.37147197989</v>
      </c>
      <c r="E23" s="44"/>
      <c r="F23" s="49" t="s">
        <v>25</v>
      </c>
      <c r="G23" s="46">
        <f>D23*('Background - Yes'!$I$20+($D$12-1%))</f>
        <v>175901.70117544063</v>
      </c>
      <c r="H23" s="44"/>
      <c r="I23" s="49" t="s">
        <v>25</v>
      </c>
      <c r="J23" s="50">
        <f>G23*('Background - Yes'!$J$20+($D$12-1%))</f>
        <v>193326.52623764987</v>
      </c>
      <c r="K23" s="40"/>
      <c r="L23" s="29"/>
    </row>
    <row r="24" spans="2:13" x14ac:dyDescent="0.2">
      <c r="B24" s="37"/>
      <c r="C24" s="48" t="s">
        <v>26</v>
      </c>
      <c r="D24" s="46">
        <f>D22-D23</f>
        <v>1110430.5176459621</v>
      </c>
      <c r="E24" s="44"/>
      <c r="F24" s="49" t="s">
        <v>26</v>
      </c>
      <c r="G24" s="46">
        <f>G22-G23</f>
        <v>1206856.9005142364</v>
      </c>
      <c r="H24" s="44"/>
      <c r="I24" s="49" t="s">
        <v>26</v>
      </c>
      <c r="J24" s="50">
        <f>J22-J23</f>
        <v>1326408.1625319158</v>
      </c>
      <c r="K24" s="40"/>
      <c r="L24" s="29"/>
    </row>
    <row r="25" spans="2:13" x14ac:dyDescent="0.2">
      <c r="B25" s="37"/>
      <c r="C25" s="48" t="s">
        <v>27</v>
      </c>
      <c r="D25" s="46">
        <f>D10*'Background - Yes'!I7</f>
        <v>536969.28447245783</v>
      </c>
      <c r="E25" s="44"/>
      <c r="F25" s="49" t="s">
        <v>27</v>
      </c>
      <c r="G25" s="46">
        <f>D25*('Background - Yes'!$I$20+($D$12-1%))</f>
        <v>583598.05141485995</v>
      </c>
      <c r="H25" s="44"/>
      <c r="I25" s="49" t="s">
        <v>27</v>
      </c>
      <c r="J25" s="50">
        <f>G25*('Background - Yes'!$J$20+($D$12-1%))</f>
        <v>641409.2828276119</v>
      </c>
      <c r="K25" s="40"/>
      <c r="L25" s="29"/>
      <c r="M25" s="60"/>
    </row>
    <row r="26" spans="2:13" x14ac:dyDescent="0.2">
      <c r="B26" s="37"/>
      <c r="C26" s="45" t="s">
        <v>28</v>
      </c>
      <c r="D26" s="51">
        <f>D22/$D$8/12</f>
        <v>92.194049936082749</v>
      </c>
      <c r="E26" s="44"/>
      <c r="F26" s="47" t="s">
        <v>28</v>
      </c>
      <c r="G26" s="51">
        <f>G22/$D$8/12</f>
        <v>100.19989867316501</v>
      </c>
      <c r="H26" s="44"/>
      <c r="I26" s="47" t="s">
        <v>28</v>
      </c>
      <c r="J26" s="52">
        <f>J22/$D$8/12</f>
        <v>110.12570208475114</v>
      </c>
      <c r="K26" s="40"/>
      <c r="L26" s="29"/>
      <c r="M26" s="60"/>
    </row>
    <row r="27" spans="2:13" x14ac:dyDescent="0.2">
      <c r="B27" s="37"/>
      <c r="C27" s="45" t="s">
        <v>29</v>
      </c>
      <c r="D27" s="51">
        <f>(D24-D25)/$D$8/12</f>
        <v>41.555161824166973</v>
      </c>
      <c r="E27" s="44"/>
      <c r="F27" s="47" t="s">
        <v>29</v>
      </c>
      <c r="G27" s="51">
        <f>(G24-G25)/$D$8/12</f>
        <v>45.163684717346122</v>
      </c>
      <c r="H27" s="44"/>
      <c r="I27" s="47" t="s">
        <v>29</v>
      </c>
      <c r="J27" s="52">
        <f>(J24-J25)/$D$8/12</f>
        <v>49.637599978572752</v>
      </c>
      <c r="K27" s="40"/>
      <c r="L27" s="29"/>
    </row>
    <row r="28" spans="2:13" x14ac:dyDescent="0.2">
      <c r="B28" s="37"/>
      <c r="C28" s="118" t="s">
        <v>30</v>
      </c>
      <c r="D28" s="119"/>
      <c r="E28" s="44"/>
      <c r="F28" s="119" t="s">
        <v>30</v>
      </c>
      <c r="G28" s="119"/>
      <c r="H28" s="44"/>
      <c r="I28" s="119" t="s">
        <v>30</v>
      </c>
      <c r="J28" s="120"/>
      <c r="K28" s="40"/>
      <c r="L28" s="29"/>
    </row>
    <row r="29" spans="2:13" x14ac:dyDescent="0.2">
      <c r="B29" s="37"/>
      <c r="C29" s="45" t="s">
        <v>24</v>
      </c>
      <c r="D29" s="46">
        <f>D10*'Background - Yes'!I9</f>
        <v>2084454.6025303667</v>
      </c>
      <c r="E29" s="44"/>
      <c r="F29" s="47" t="s">
        <v>24</v>
      </c>
      <c r="G29" s="46">
        <f>D29*('Background - Yes'!$I$21+($D$12-1%))</f>
        <v>2283876.2339611603</v>
      </c>
      <c r="H29" s="44"/>
      <c r="I29" s="47" t="s">
        <v>24</v>
      </c>
      <c r="J29" s="50">
        <f>G29*('Background - Yes'!$J$21+($D$12-1%))</f>
        <v>2529164.840621036</v>
      </c>
      <c r="K29" s="40"/>
      <c r="L29" s="29"/>
    </row>
    <row r="30" spans="2:13" x14ac:dyDescent="0.2">
      <c r="B30" s="37"/>
      <c r="C30" s="48" t="s">
        <v>25</v>
      </c>
      <c r="D30" s="46">
        <f>(D10*'Background - Yes'!J10*D15)+(D10*'Background - Yes'!K10*D14)+(D10*'Background - Yes'!L10*D16)</f>
        <v>1484175.0701186375</v>
      </c>
      <c r="E30" s="44"/>
      <c r="F30" s="49" t="s">
        <v>25</v>
      </c>
      <c r="G30" s="46">
        <f>D30*('Background - Yes'!$I$21+($D$12-1%))</f>
        <v>1626167.4231555797</v>
      </c>
      <c r="H30" s="44"/>
      <c r="I30" s="49" t="s">
        <v>25</v>
      </c>
      <c r="J30" s="50">
        <f>G30*('Background - Yes'!$J$21+($D$12-1%))</f>
        <v>1800818.0173910186</v>
      </c>
      <c r="K30" s="40"/>
      <c r="L30" s="29"/>
    </row>
    <row r="31" spans="2:13" x14ac:dyDescent="0.2">
      <c r="B31" s="37"/>
      <c r="C31" s="48" t="s">
        <v>26</v>
      </c>
      <c r="D31" s="53">
        <f>D29-D30</f>
        <v>600279.53241172922</v>
      </c>
      <c r="E31" s="44"/>
      <c r="F31" s="49" t="s">
        <v>26</v>
      </c>
      <c r="G31" s="53">
        <f>G29-G30</f>
        <v>657708.81080558058</v>
      </c>
      <c r="H31" s="44"/>
      <c r="I31" s="49" t="s">
        <v>26</v>
      </c>
      <c r="J31" s="50">
        <f>J29-J30</f>
        <v>728346.82323001744</v>
      </c>
      <c r="K31" s="40"/>
      <c r="L31" s="29"/>
    </row>
    <row r="32" spans="2:13" x14ac:dyDescent="0.2">
      <c r="B32" s="37"/>
      <c r="C32" s="48" t="s">
        <v>27</v>
      </c>
      <c r="D32" s="46">
        <f>D10*'Background - Yes'!I12</f>
        <v>728840.5</v>
      </c>
      <c r="E32" s="44"/>
      <c r="F32" s="49" t="s">
        <v>27</v>
      </c>
      <c r="G32" s="46">
        <f>D32*('Background - Yes'!$I$21+($D$12-1%))</f>
        <v>798569.32085625455</v>
      </c>
      <c r="H32" s="44"/>
      <c r="I32" s="49" t="s">
        <v>27</v>
      </c>
      <c r="J32" s="50">
        <f>G32*('Background - Yes'!$J$21+($D$12-1%))</f>
        <v>884335.77050944755</v>
      </c>
      <c r="K32" s="40"/>
      <c r="L32" s="29"/>
    </row>
    <row r="33" spans="2:12" x14ac:dyDescent="0.2">
      <c r="B33" s="37"/>
      <c r="C33" s="45" t="s">
        <v>28</v>
      </c>
      <c r="D33" s="51">
        <f>D29/$D$8/12</f>
        <v>151.04743496596862</v>
      </c>
      <c r="E33" s="44"/>
      <c r="F33" s="47" t="s">
        <v>28</v>
      </c>
      <c r="G33" s="51">
        <f>G29/$D$8/12</f>
        <v>165.4982778232725</v>
      </c>
      <c r="H33" s="44"/>
      <c r="I33" s="47" t="s">
        <v>28</v>
      </c>
      <c r="J33" s="52">
        <f>J29/$D$8/12</f>
        <v>183.2728145377562</v>
      </c>
      <c r="K33" s="40"/>
      <c r="L33" s="29"/>
    </row>
    <row r="34" spans="2:12" ht="17" thickBot="1" x14ac:dyDescent="0.25">
      <c r="B34" s="37"/>
      <c r="C34" s="54" t="s">
        <v>29</v>
      </c>
      <c r="D34" s="67">
        <f>(D31-D32)/$D$8/12</f>
        <v>-9.3160121440775931</v>
      </c>
      <c r="E34" s="55"/>
      <c r="F34" s="56" t="s">
        <v>29</v>
      </c>
      <c r="G34" s="67">
        <f>(G31-G32)/$D$8/12</f>
        <v>-10.207283337005359</v>
      </c>
      <c r="H34" s="55"/>
      <c r="I34" s="56" t="s">
        <v>29</v>
      </c>
      <c r="J34" s="68">
        <f>(J31-J32)/$D$8/12</f>
        <v>-11.303546904306529</v>
      </c>
      <c r="K34" s="40"/>
      <c r="L34" s="29"/>
    </row>
    <row r="35" spans="2:12" ht="17" thickBot="1" x14ac:dyDescent="0.25">
      <c r="B35" s="57"/>
      <c r="C35" s="58"/>
      <c r="D35" s="58"/>
      <c r="E35" s="58"/>
      <c r="F35" s="58"/>
      <c r="G35" s="58"/>
      <c r="H35" s="58"/>
      <c r="I35" s="58"/>
      <c r="J35" s="58"/>
      <c r="K35" s="59"/>
      <c r="L35" s="29"/>
    </row>
    <row r="36" spans="2:12" x14ac:dyDescent="0.2">
      <c r="B36" s="29"/>
      <c r="C36" s="31" t="s">
        <v>32</v>
      </c>
      <c r="D36" s="29"/>
      <c r="E36" s="29"/>
      <c r="F36" s="29"/>
      <c r="G36" s="29"/>
      <c r="H36" s="29"/>
      <c r="I36" s="29"/>
      <c r="J36" s="29"/>
      <c r="K36" s="29"/>
      <c r="L36" s="29"/>
    </row>
    <row r="37" spans="2:12" x14ac:dyDescent="0.2">
      <c r="B37" s="29"/>
      <c r="C37" s="31" t="s">
        <v>33</v>
      </c>
      <c r="D37" s="29"/>
      <c r="E37" s="29"/>
      <c r="F37" s="29"/>
      <c r="G37" s="29"/>
      <c r="H37" s="29"/>
      <c r="I37" s="29"/>
      <c r="J37" s="29"/>
      <c r="K37" s="29"/>
      <c r="L37" s="29"/>
    </row>
    <row r="38" spans="2:12" x14ac:dyDescent="0.2">
      <c r="B38" s="29"/>
      <c r="C38" s="31" t="s">
        <v>34</v>
      </c>
      <c r="D38" s="29"/>
      <c r="E38" s="29"/>
      <c r="F38" s="29"/>
      <c r="G38" s="32"/>
      <c r="H38" s="29"/>
      <c r="I38" s="32"/>
      <c r="J38" s="29"/>
      <c r="K38" s="29"/>
      <c r="L38" s="29"/>
    </row>
    <row r="39" spans="2:12" x14ac:dyDescent="0.2">
      <c r="C39" s="31"/>
    </row>
  </sheetData>
  <mergeCells count="12">
    <mergeCell ref="C21:D21"/>
    <mergeCell ref="F21:G21"/>
    <mergeCell ref="I21:J21"/>
    <mergeCell ref="C28:D28"/>
    <mergeCell ref="F28:G28"/>
    <mergeCell ref="I28:J28"/>
    <mergeCell ref="C4:E4"/>
    <mergeCell ref="C5:E5"/>
    <mergeCell ref="C19:J19"/>
    <mergeCell ref="C20:E20"/>
    <mergeCell ref="F20:H20"/>
    <mergeCell ref="I20:J2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36CD1-E857-E94E-A165-4E9618C883D4}">
  <dimension ref="B2:L36"/>
  <sheetViews>
    <sheetView zoomScale="95" workbookViewId="0">
      <selection activeCell="I27" sqref="I27"/>
    </sheetView>
  </sheetViews>
  <sheetFormatPr baseColWidth="10" defaultRowHeight="16" x14ac:dyDescent="0.2"/>
  <cols>
    <col min="2" max="2" width="17" bestFit="1" customWidth="1"/>
    <col min="3" max="3" width="9.83203125" bestFit="1" customWidth="1"/>
    <col min="5" max="5" width="23.33203125" bestFit="1" customWidth="1"/>
    <col min="9" max="9" width="21.1640625" bestFit="1" customWidth="1"/>
  </cols>
  <sheetData>
    <row r="2" spans="2:12" ht="16" customHeight="1" x14ac:dyDescent="0.2">
      <c r="B2" s="121" t="s">
        <v>22</v>
      </c>
      <c r="C2" s="122"/>
    </row>
    <row r="3" spans="2:12" ht="32" x14ac:dyDescent="0.2">
      <c r="B3" s="19" t="s">
        <v>23</v>
      </c>
      <c r="C3" s="20">
        <v>2544.5557782358837</v>
      </c>
      <c r="E3" s="3" t="s">
        <v>2</v>
      </c>
      <c r="F3" s="4">
        <v>1</v>
      </c>
      <c r="G3" s="5"/>
      <c r="J3" t="s">
        <v>36</v>
      </c>
      <c r="K3" t="s">
        <v>35</v>
      </c>
      <c r="L3" t="s">
        <v>13</v>
      </c>
    </row>
    <row r="4" spans="2:12" x14ac:dyDescent="0.2">
      <c r="B4" s="21" t="s">
        <v>24</v>
      </c>
      <c r="C4" s="22">
        <v>2544.5557782358837</v>
      </c>
      <c r="E4" s="6" t="s">
        <v>3</v>
      </c>
      <c r="F4" s="7">
        <v>2.2999999999999998</v>
      </c>
      <c r="G4" s="2"/>
      <c r="I4">
        <f>C3/F7</f>
        <v>110.63285992329929</v>
      </c>
    </row>
    <row r="5" spans="2:12" x14ac:dyDescent="0.2">
      <c r="B5" s="23" t="s">
        <v>25</v>
      </c>
      <c r="C5" s="22">
        <v>12.012409173671525</v>
      </c>
      <c r="E5" s="6" t="s">
        <v>4</v>
      </c>
      <c r="F5" s="8">
        <v>2.2999999999999998</v>
      </c>
      <c r="G5" s="2"/>
      <c r="J5">
        <f>C5/F7</f>
        <v>0.52227865972484888</v>
      </c>
      <c r="K5">
        <f>C21/F7</f>
        <v>7.2562225626547225E-2</v>
      </c>
      <c r="L5">
        <v>0</v>
      </c>
    </row>
    <row r="6" spans="2:12" x14ac:dyDescent="0.2">
      <c r="B6" s="23" t="s">
        <v>26</v>
      </c>
      <c r="C6" s="22">
        <v>2532.5433690622122</v>
      </c>
      <c r="E6" s="6" t="s">
        <v>5</v>
      </c>
      <c r="F6" s="8">
        <v>10</v>
      </c>
      <c r="G6" s="2"/>
      <c r="I6">
        <f>I4-J5</f>
        <v>110.11058126357445</v>
      </c>
    </row>
    <row r="7" spans="2:12" x14ac:dyDescent="0.2">
      <c r="B7" s="23" t="s">
        <v>27</v>
      </c>
      <c r="C7" s="22">
        <v>1073.9385689449157</v>
      </c>
      <c r="E7" s="6" t="s">
        <v>6</v>
      </c>
      <c r="F7" s="8">
        <v>23</v>
      </c>
      <c r="G7" s="2"/>
      <c r="I7">
        <f>C7/F7</f>
        <v>46.692981258474596</v>
      </c>
    </row>
    <row r="8" spans="2:12" x14ac:dyDescent="0.2">
      <c r="B8" s="21" t="s">
        <v>28</v>
      </c>
      <c r="C8" s="24">
        <v>92.194049936082749</v>
      </c>
      <c r="E8" s="6" t="s">
        <v>7</v>
      </c>
      <c r="F8" s="9" t="s">
        <v>8</v>
      </c>
      <c r="G8" s="2"/>
    </row>
    <row r="9" spans="2:12" x14ac:dyDescent="0.2">
      <c r="B9" s="21" t="s">
        <v>29</v>
      </c>
      <c r="C9" s="24">
        <v>52.848000004249876</v>
      </c>
      <c r="E9" s="6" t="s">
        <v>9</v>
      </c>
      <c r="F9" s="10">
        <v>0</v>
      </c>
      <c r="G9" s="2"/>
      <c r="I9">
        <f>C12/F7</f>
        <v>181.25692195916233</v>
      </c>
    </row>
    <row r="10" spans="2:12" ht="16" customHeight="1" x14ac:dyDescent="0.2">
      <c r="B10" s="121" t="s">
        <v>30</v>
      </c>
      <c r="C10" s="122"/>
      <c r="E10" s="11" t="s">
        <v>10</v>
      </c>
      <c r="F10" s="1"/>
      <c r="G10" s="2"/>
      <c r="J10">
        <f>C13/F7</f>
        <v>0.85808695652173905</v>
      </c>
      <c r="K10">
        <f>C29/F7</f>
        <v>0.11921739130434783</v>
      </c>
      <c r="L10">
        <f>F31/F7</f>
        <v>0.70624062035863044</v>
      </c>
    </row>
    <row r="11" spans="2:12" ht="32" x14ac:dyDescent="0.2">
      <c r="B11" s="19" t="s">
        <v>23</v>
      </c>
      <c r="C11" s="25">
        <v>4168.9092050607333</v>
      </c>
      <c r="E11" s="12" t="s">
        <v>11</v>
      </c>
      <c r="F11" s="13">
        <v>0</v>
      </c>
      <c r="G11" s="2"/>
      <c r="I11">
        <f>I9-J10</f>
        <v>180.3988350026406</v>
      </c>
    </row>
    <row r="12" spans="2:12" x14ac:dyDescent="0.2">
      <c r="B12" s="21" t="s">
        <v>24</v>
      </c>
      <c r="C12" s="25">
        <v>4168.9092050607333</v>
      </c>
      <c r="E12" s="12" t="s">
        <v>12</v>
      </c>
      <c r="F12" s="13">
        <v>1</v>
      </c>
      <c r="G12" s="2"/>
      <c r="I12">
        <f>C15/F7</f>
        <v>63.377434782608695</v>
      </c>
    </row>
    <row r="13" spans="2:12" x14ac:dyDescent="0.2">
      <c r="B13" s="23" t="s">
        <v>25</v>
      </c>
      <c r="C13" s="25">
        <v>19.735999999999997</v>
      </c>
      <c r="E13" s="12" t="s">
        <v>13</v>
      </c>
      <c r="F13" s="13">
        <v>0</v>
      </c>
      <c r="G13" s="2"/>
    </row>
    <row r="14" spans="2:12" x14ac:dyDescent="0.2">
      <c r="B14" s="23" t="s">
        <v>26</v>
      </c>
      <c r="C14" s="25">
        <v>4149.1732050607334</v>
      </c>
      <c r="E14" s="6" t="s">
        <v>14</v>
      </c>
      <c r="F14" s="14">
        <v>0</v>
      </c>
      <c r="G14" s="2"/>
    </row>
    <row r="15" spans="2:12" x14ac:dyDescent="0.2">
      <c r="B15" s="23" t="s">
        <v>27</v>
      </c>
      <c r="C15" s="25">
        <v>1457.681</v>
      </c>
      <c r="E15" s="6" t="s">
        <v>15</v>
      </c>
      <c r="F15" s="15" t="s">
        <v>16</v>
      </c>
      <c r="G15" s="2"/>
    </row>
    <row r="16" spans="2:12" ht="17" thickBot="1" x14ac:dyDescent="0.25">
      <c r="B16" s="21" t="s">
        <v>28</v>
      </c>
      <c r="C16" s="26">
        <v>151.47184409323583</v>
      </c>
      <c r="E16" s="16" t="s">
        <v>17</v>
      </c>
      <c r="F16" s="17" t="s">
        <v>16</v>
      </c>
      <c r="G16" s="18"/>
    </row>
    <row r="17" spans="2:10" x14ac:dyDescent="0.2">
      <c r="B17" s="21" t="s">
        <v>29</v>
      </c>
      <c r="C17" s="26">
        <v>97.942242643960469</v>
      </c>
    </row>
    <row r="18" spans="2:10" ht="17" thickBot="1" x14ac:dyDescent="0.25">
      <c r="B18" s="27" t="s">
        <v>31</v>
      </c>
      <c r="C18" s="28">
        <v>0</v>
      </c>
    </row>
    <row r="19" spans="2:10" x14ac:dyDescent="0.2">
      <c r="I19" t="s">
        <v>20</v>
      </c>
      <c r="J19" t="s">
        <v>21</v>
      </c>
    </row>
    <row r="20" spans="2:10" ht="16" customHeight="1" x14ac:dyDescent="0.2">
      <c r="B20" s="21" t="s">
        <v>24</v>
      </c>
      <c r="C20" s="22">
        <v>2544.5557782358837</v>
      </c>
      <c r="E20" s="123" t="s">
        <v>22</v>
      </c>
      <c r="F20" s="124"/>
      <c r="I20">
        <f>2766/2545</f>
        <v>1.0868369351669942</v>
      </c>
      <c r="J20">
        <f>3040/2766</f>
        <v>1.0990600144613161</v>
      </c>
    </row>
    <row r="21" spans="2:10" x14ac:dyDescent="0.2">
      <c r="B21" s="23" t="s">
        <v>25</v>
      </c>
      <c r="C21" s="22">
        <v>1.668931189410586</v>
      </c>
      <c r="E21" s="19" t="s">
        <v>23</v>
      </c>
      <c r="F21" s="20">
        <v>2544.5557782358837</v>
      </c>
      <c r="I21">
        <f>4581/4181</f>
        <v>1.0956708921310692</v>
      </c>
      <c r="J21">
        <f>5073/4581</f>
        <v>1.1074001309757695</v>
      </c>
    </row>
    <row r="22" spans="2:10" x14ac:dyDescent="0.2">
      <c r="B22" s="23" t="s">
        <v>26</v>
      </c>
      <c r="C22" s="22">
        <v>2542.8868470464731</v>
      </c>
      <c r="E22" s="21" t="s">
        <v>24</v>
      </c>
      <c r="F22" s="22">
        <v>2544.5557782358837</v>
      </c>
    </row>
    <row r="23" spans="2:10" x14ac:dyDescent="0.2">
      <c r="B23" s="23" t="s">
        <v>27</v>
      </c>
      <c r="C23" s="22">
        <v>1073.9385689449157</v>
      </c>
      <c r="E23" s="23" t="s">
        <v>25</v>
      </c>
      <c r="F23" s="22">
        <v>0</v>
      </c>
      <c r="I23" s="33">
        <f>I20+('Model (3 Year Example)'!D12-1%)</f>
        <v>1.0868369351669942</v>
      </c>
    </row>
    <row r="24" spans="2:10" x14ac:dyDescent="0.2">
      <c r="B24" s="21" t="s">
        <v>28</v>
      </c>
      <c r="C24" s="24">
        <v>92.194049936082749</v>
      </c>
      <c r="E24" s="23" t="s">
        <v>26</v>
      </c>
      <c r="F24" s="22">
        <v>2544.5557782358837</v>
      </c>
      <c r="I24" s="33"/>
    </row>
    <row r="25" spans="2:10" x14ac:dyDescent="0.2">
      <c r="B25" s="21" t="s">
        <v>29</v>
      </c>
      <c r="C25" s="24">
        <v>53.2227636993318</v>
      </c>
      <c r="E25" s="23" t="s">
        <v>27</v>
      </c>
      <c r="F25" s="22">
        <v>1073.9385689449157</v>
      </c>
    </row>
    <row r="26" spans="2:10" x14ac:dyDescent="0.2">
      <c r="B26" s="123" t="s">
        <v>30</v>
      </c>
      <c r="C26" s="124"/>
      <c r="E26" s="21" t="s">
        <v>28</v>
      </c>
      <c r="F26" s="24">
        <v>92.194049936082749</v>
      </c>
    </row>
    <row r="27" spans="2:10" ht="32" x14ac:dyDescent="0.2">
      <c r="B27" s="19" t="s">
        <v>23</v>
      </c>
      <c r="C27" s="20">
        <v>4180.6228969733083</v>
      </c>
      <c r="E27" s="21" t="s">
        <v>29</v>
      </c>
      <c r="F27" s="24">
        <v>53.283232220687246</v>
      </c>
    </row>
    <row r="28" spans="2:10" ht="16" customHeight="1" x14ac:dyDescent="0.2">
      <c r="B28" s="21" t="s">
        <v>24</v>
      </c>
      <c r="C28" s="25">
        <v>4180.6228969733083</v>
      </c>
      <c r="E28" s="123" t="s">
        <v>30</v>
      </c>
      <c r="F28" s="124"/>
    </row>
    <row r="29" spans="2:10" x14ac:dyDescent="0.2">
      <c r="B29" s="23" t="s">
        <v>25</v>
      </c>
      <c r="C29" s="25">
        <v>2.742</v>
      </c>
      <c r="E29" s="19" t="s">
        <v>23</v>
      </c>
      <c r="F29" s="20">
        <v>4180.6228969733083</v>
      </c>
    </row>
    <row r="30" spans="2:10" x14ac:dyDescent="0.2">
      <c r="B30" s="23" t="s">
        <v>26</v>
      </c>
      <c r="C30" s="25">
        <v>4177.8808969733082</v>
      </c>
      <c r="E30" s="21" t="s">
        <v>24</v>
      </c>
      <c r="F30" s="25">
        <v>4180.6228969733083</v>
      </c>
    </row>
    <row r="31" spans="2:10" x14ac:dyDescent="0.2">
      <c r="B31" s="23" t="s">
        <v>27</v>
      </c>
      <c r="C31" s="25">
        <v>1457.6809999999998</v>
      </c>
      <c r="E31" s="23" t="s">
        <v>25</v>
      </c>
      <c r="F31" s="25">
        <v>16.243534268248499</v>
      </c>
    </row>
    <row r="32" spans="2:10" x14ac:dyDescent="0.2">
      <c r="B32" s="21" t="s">
        <v>28</v>
      </c>
      <c r="C32" s="26">
        <v>151.47184409323583</v>
      </c>
      <c r="E32" s="23" t="s">
        <v>26</v>
      </c>
      <c r="F32" s="25">
        <v>4180.4308969733083</v>
      </c>
    </row>
    <row r="33" spans="2:6" x14ac:dyDescent="0.2">
      <c r="B33" s="21" t="s">
        <v>29</v>
      </c>
      <c r="C33" s="26">
        <v>98.557967281641609</v>
      </c>
      <c r="E33" s="23" t="s">
        <v>27</v>
      </c>
      <c r="F33" s="25">
        <v>1457.6809999999998</v>
      </c>
    </row>
    <row r="34" spans="2:6" ht="17" thickBot="1" x14ac:dyDescent="0.25">
      <c r="B34" s="27" t="s">
        <v>31</v>
      </c>
      <c r="C34" s="28">
        <v>0</v>
      </c>
      <c r="E34" s="21" t="s">
        <v>28</v>
      </c>
      <c r="F34" s="26">
        <v>151.47184409323583</v>
      </c>
    </row>
    <row r="35" spans="2:6" x14ac:dyDescent="0.2">
      <c r="E35" s="21" t="s">
        <v>29</v>
      </c>
      <c r="F35" s="26">
        <v>98.650358585989451</v>
      </c>
    </row>
    <row r="36" spans="2:6" ht="17" thickBot="1" x14ac:dyDescent="0.25">
      <c r="E36" s="27" t="s">
        <v>31</v>
      </c>
      <c r="F36" s="28">
        <v>0</v>
      </c>
    </row>
  </sheetData>
  <mergeCells count="5">
    <mergeCell ref="B2:C2"/>
    <mergeCell ref="B10:C10"/>
    <mergeCell ref="B26:C26"/>
    <mergeCell ref="E20:F20"/>
    <mergeCell ref="E28:F2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794FE-0103-2543-A06D-07778B991656}">
  <dimension ref="B2:L34"/>
  <sheetViews>
    <sheetView zoomScale="95" workbookViewId="0">
      <selection activeCell="I27" sqref="I27"/>
    </sheetView>
  </sheetViews>
  <sheetFormatPr baseColWidth="10" defaultRowHeight="16" x14ac:dyDescent="0.2"/>
  <cols>
    <col min="2" max="2" width="17" bestFit="1" customWidth="1"/>
    <col min="3" max="3" width="9.83203125" bestFit="1" customWidth="1"/>
    <col min="5" max="5" width="23.33203125" bestFit="1" customWidth="1"/>
    <col min="9" max="9" width="21.1640625" bestFit="1" customWidth="1"/>
  </cols>
  <sheetData>
    <row r="2" spans="2:12" ht="16" customHeight="1" x14ac:dyDescent="0.2">
      <c r="B2" s="123" t="s">
        <v>22</v>
      </c>
      <c r="C2" s="124"/>
    </row>
    <row r="3" spans="2:12" x14ac:dyDescent="0.2">
      <c r="B3" s="21" t="s">
        <v>24</v>
      </c>
      <c r="C3" s="22">
        <v>1952.0857637414342</v>
      </c>
      <c r="E3" s="3" t="s">
        <v>2</v>
      </c>
      <c r="F3" s="4">
        <v>1</v>
      </c>
      <c r="G3" s="5"/>
      <c r="J3" t="s">
        <v>36</v>
      </c>
      <c r="K3" t="s">
        <v>35</v>
      </c>
      <c r="L3" t="s">
        <v>13</v>
      </c>
    </row>
    <row r="4" spans="2:12" x14ac:dyDescent="0.2">
      <c r="B4" s="21" t="s">
        <v>41</v>
      </c>
      <c r="C4" s="22">
        <v>1933.862391459272</v>
      </c>
      <c r="E4" s="6" t="s">
        <v>3</v>
      </c>
      <c r="F4" s="7">
        <v>2.2999999999999998</v>
      </c>
      <c r="G4" s="2"/>
      <c r="I4">
        <f>C3/F7</f>
        <v>84.873294075714526</v>
      </c>
    </row>
    <row r="5" spans="2:12" x14ac:dyDescent="0.2">
      <c r="B5" s="23" t="s">
        <v>25</v>
      </c>
      <c r="C5" s="22">
        <v>9.241353730235458</v>
      </c>
      <c r="E5" s="6" t="s">
        <v>4</v>
      </c>
      <c r="F5" s="8">
        <v>2.2999999999999998</v>
      </c>
      <c r="G5" s="2"/>
      <c r="J5">
        <f>C5/F7</f>
        <v>0.40179798827110685</v>
      </c>
      <c r="K5">
        <f>C21/F7</f>
        <v>5.5823372711764033E-2</v>
      </c>
      <c r="L5">
        <f>F21/F7</f>
        <v>0</v>
      </c>
    </row>
    <row r="6" spans="2:12" x14ac:dyDescent="0.2">
      <c r="B6" s="23" t="s">
        <v>26</v>
      </c>
      <c r="C6" s="22">
        <v>1942.8444100111988</v>
      </c>
      <c r="E6" s="6" t="s">
        <v>5</v>
      </c>
      <c r="F6" s="8">
        <v>10</v>
      </c>
      <c r="G6" s="2"/>
      <c r="I6">
        <f>I4-J5</f>
        <v>84.471496087443413</v>
      </c>
    </row>
    <row r="7" spans="2:12" x14ac:dyDescent="0.2">
      <c r="B7" s="23" t="s">
        <v>27</v>
      </c>
      <c r="C7" s="22">
        <v>700.23013843178728</v>
      </c>
      <c r="E7" s="6" t="s">
        <v>6</v>
      </c>
      <c r="F7" s="8">
        <v>23</v>
      </c>
      <c r="G7" s="2"/>
      <c r="I7">
        <f>C7/F7</f>
        <v>30.444788627469013</v>
      </c>
    </row>
    <row r="8" spans="2:12" x14ac:dyDescent="0.2">
      <c r="B8" s="21" t="s">
        <v>28</v>
      </c>
      <c r="C8" s="24">
        <v>70.727745063095441</v>
      </c>
      <c r="E8" s="6" t="s">
        <v>7</v>
      </c>
      <c r="F8" s="9" t="s">
        <v>8</v>
      </c>
      <c r="G8" s="2"/>
    </row>
    <row r="9" spans="2:12" x14ac:dyDescent="0.2">
      <c r="B9" s="21" t="s">
        <v>29</v>
      </c>
      <c r="C9" s="24">
        <v>45.022256216645353</v>
      </c>
      <c r="E9" s="6" t="s">
        <v>9</v>
      </c>
      <c r="F9" s="10">
        <v>0</v>
      </c>
      <c r="G9" s="2"/>
      <c r="I9">
        <f>C11/F7</f>
        <v>155.54313648076047</v>
      </c>
    </row>
    <row r="10" spans="2:12" ht="16" customHeight="1" x14ac:dyDescent="0.2">
      <c r="B10" s="123" t="s">
        <v>30</v>
      </c>
      <c r="C10" s="124"/>
      <c r="E10" s="11" t="s">
        <v>10</v>
      </c>
      <c r="F10" s="1"/>
      <c r="G10" s="2"/>
      <c r="J10">
        <f>C13/F7</f>
        <v>0.73635552864950615</v>
      </c>
      <c r="K10">
        <f>C28/F7</f>
        <v>0.10230476588756313</v>
      </c>
      <c r="L10">
        <f>F29/F7</f>
        <v>0.60605068216621871</v>
      </c>
    </row>
    <row r="11" spans="2:12" x14ac:dyDescent="0.2">
      <c r="B11" s="21" t="s">
        <v>24</v>
      </c>
      <c r="C11" s="25">
        <v>3577.4921390574909</v>
      </c>
      <c r="E11" s="12" t="s">
        <v>11</v>
      </c>
      <c r="F11" s="13">
        <v>0</v>
      </c>
      <c r="G11" s="2"/>
      <c r="I11">
        <f>I9-J10</f>
        <v>154.80678095211096</v>
      </c>
    </row>
    <row r="12" spans="2:12" x14ac:dyDescent="0.2">
      <c r="B12" s="21" t="s">
        <v>41</v>
      </c>
      <c r="C12" s="25">
        <v>3543.5728243016233</v>
      </c>
      <c r="E12" s="12" t="s">
        <v>12</v>
      </c>
      <c r="F12" s="13">
        <v>1</v>
      </c>
      <c r="G12" s="2"/>
      <c r="I12">
        <f>C15/F7</f>
        <v>41.432336151239006</v>
      </c>
    </row>
    <row r="13" spans="2:12" x14ac:dyDescent="0.2">
      <c r="B13" s="23" t="s">
        <v>25</v>
      </c>
      <c r="C13" s="25">
        <v>16.936177158938641</v>
      </c>
      <c r="E13" s="12" t="s">
        <v>13</v>
      </c>
      <c r="F13" s="13">
        <v>0</v>
      </c>
      <c r="G13" s="2"/>
    </row>
    <row r="14" spans="2:12" x14ac:dyDescent="0.2">
      <c r="B14" s="23" t="s">
        <v>26</v>
      </c>
      <c r="C14" s="25">
        <v>3560.5559618985521</v>
      </c>
      <c r="E14" s="6" t="s">
        <v>14</v>
      </c>
      <c r="F14" s="14">
        <v>0</v>
      </c>
      <c r="G14" s="2"/>
    </row>
    <row r="15" spans="2:12" x14ac:dyDescent="0.2">
      <c r="B15" s="23" t="s">
        <v>27</v>
      </c>
      <c r="C15" s="25">
        <v>952.94373147849717</v>
      </c>
      <c r="E15" s="6" t="s">
        <v>15</v>
      </c>
      <c r="F15" s="15" t="s">
        <v>16</v>
      </c>
      <c r="G15" s="2"/>
    </row>
    <row r="16" spans="2:12" ht="17" thickBot="1" x14ac:dyDescent="0.25">
      <c r="B16" s="21" t="s">
        <v>28</v>
      </c>
      <c r="C16" s="26">
        <v>129.61928040063376</v>
      </c>
      <c r="E16" s="16" t="s">
        <v>17</v>
      </c>
      <c r="F16" s="17" t="s">
        <v>16</v>
      </c>
      <c r="G16" s="18"/>
    </row>
    <row r="17" spans="2:10" x14ac:dyDescent="0.2">
      <c r="B17" s="21" t="s">
        <v>29</v>
      </c>
      <c r="C17" s="26">
        <v>94.478704000726637</v>
      </c>
    </row>
    <row r="18" spans="2:10" ht="17" thickBot="1" x14ac:dyDescent="0.25">
      <c r="B18" s="27" t="s">
        <v>42</v>
      </c>
      <c r="C18" s="28">
        <v>0</v>
      </c>
    </row>
    <row r="19" spans="2:10" x14ac:dyDescent="0.2">
      <c r="I19" t="s">
        <v>20</v>
      </c>
      <c r="J19" t="s">
        <v>21</v>
      </c>
    </row>
    <row r="20" spans="2:10" ht="16" customHeight="1" x14ac:dyDescent="0.2">
      <c r="B20" s="21" t="s">
        <v>24</v>
      </c>
      <c r="C20" s="22">
        <v>1952.0857637414342</v>
      </c>
      <c r="E20" s="21" t="s">
        <v>24</v>
      </c>
      <c r="F20" s="22">
        <v>1952.0857637414342</v>
      </c>
      <c r="I20">
        <f>2766/2545</f>
        <v>1.0868369351669942</v>
      </c>
      <c r="J20">
        <f>3040/2766</f>
        <v>1.0990600144613161</v>
      </c>
    </row>
    <row r="21" spans="2:10" x14ac:dyDescent="0.2">
      <c r="B21" s="23" t="s">
        <v>25</v>
      </c>
      <c r="C21" s="22">
        <v>1.2839375723705728</v>
      </c>
      <c r="E21" s="23" t="s">
        <v>25</v>
      </c>
      <c r="F21" s="22">
        <v>0</v>
      </c>
      <c r="I21">
        <f>4581/4181</f>
        <v>1.0956708921310692</v>
      </c>
      <c r="J21">
        <f>5073/4581</f>
        <v>1.1074001309757695</v>
      </c>
    </row>
    <row r="22" spans="2:10" x14ac:dyDescent="0.2">
      <c r="B22" s="23" t="s">
        <v>26</v>
      </c>
      <c r="C22" s="22">
        <v>1950.8018261690636</v>
      </c>
      <c r="E22" s="23" t="s">
        <v>26</v>
      </c>
      <c r="F22" s="22">
        <v>1952.0857637414342</v>
      </c>
    </row>
    <row r="23" spans="2:10" x14ac:dyDescent="0.2">
      <c r="B23" s="23" t="s">
        <v>27</v>
      </c>
      <c r="C23" s="22">
        <v>700.23013843178728</v>
      </c>
      <c r="E23" s="23" t="s">
        <v>27</v>
      </c>
      <c r="F23" s="22">
        <v>700.23013843178728</v>
      </c>
      <c r="I23" s="33">
        <f>I20+('Model (3 Year Example)'!D12-1%)</f>
        <v>1.0868369351669942</v>
      </c>
    </row>
    <row r="24" spans="2:10" x14ac:dyDescent="0.2">
      <c r="B24" s="21" t="s">
        <v>28</v>
      </c>
      <c r="C24" s="24">
        <v>70.727745063095441</v>
      </c>
      <c r="E24" s="21" t="s">
        <v>28</v>
      </c>
      <c r="F24" s="24">
        <v>70.727745063095441</v>
      </c>
      <c r="I24" s="33"/>
    </row>
    <row r="25" spans="2:10" x14ac:dyDescent="0.2">
      <c r="B25" s="21" t="s">
        <v>29</v>
      </c>
      <c r="C25" s="24">
        <v>45.310568396278136</v>
      </c>
      <c r="E25" s="21" t="s">
        <v>29</v>
      </c>
      <c r="F25" s="24">
        <v>45.357087873537942</v>
      </c>
    </row>
    <row r="26" spans="2:10" x14ac:dyDescent="0.2">
      <c r="B26" s="123" t="s">
        <v>30</v>
      </c>
      <c r="C26" s="124"/>
    </row>
    <row r="27" spans="2:10" ht="16" customHeight="1" x14ac:dyDescent="0.2">
      <c r="B27" s="21" t="s">
        <v>24</v>
      </c>
      <c r="C27" s="25">
        <v>3577.4921390574909</v>
      </c>
      <c r="E27" s="121" t="s">
        <v>30</v>
      </c>
      <c r="F27" s="122"/>
    </row>
    <row r="28" spans="2:10" x14ac:dyDescent="0.2">
      <c r="B28" s="23" t="s">
        <v>25</v>
      </c>
      <c r="C28" s="25">
        <v>2.3530096154139519</v>
      </c>
      <c r="E28" s="21" t="s">
        <v>24</v>
      </c>
      <c r="F28" s="25">
        <v>3577.4921390574909</v>
      </c>
    </row>
    <row r="29" spans="2:10" x14ac:dyDescent="0.2">
      <c r="B29" s="23" t="s">
        <v>26</v>
      </c>
      <c r="C29" s="25">
        <v>3575.1391294420769</v>
      </c>
      <c r="E29" s="23" t="s">
        <v>25</v>
      </c>
      <c r="F29" s="25">
        <v>13.93916568982303</v>
      </c>
    </row>
    <row r="30" spans="2:10" x14ac:dyDescent="0.2">
      <c r="B30" s="23" t="s">
        <v>27</v>
      </c>
      <c r="C30" s="25">
        <v>952.94373147849717</v>
      </c>
      <c r="E30" s="23" t="s">
        <v>26</v>
      </c>
      <c r="F30" s="25">
        <v>3563.5529733676681</v>
      </c>
    </row>
    <row r="31" spans="2:10" x14ac:dyDescent="0.2">
      <c r="B31" s="21" t="s">
        <v>28</v>
      </c>
      <c r="C31" s="26">
        <v>129.61928040063376</v>
      </c>
      <c r="E31" s="23" t="s">
        <v>27</v>
      </c>
      <c r="F31" s="25">
        <v>952.94373147849717</v>
      </c>
    </row>
    <row r="32" spans="2:10" x14ac:dyDescent="0.2">
      <c r="B32" s="21" t="s">
        <v>29</v>
      </c>
      <c r="C32" s="26">
        <v>95.007079636361595</v>
      </c>
      <c r="E32" s="21" t="s">
        <v>28</v>
      </c>
      <c r="F32" s="26">
        <v>129.61928040063376</v>
      </c>
    </row>
    <row r="33" spans="5:6" x14ac:dyDescent="0.2">
      <c r="E33" s="21" t="s">
        <v>29</v>
      </c>
      <c r="F33" s="26">
        <v>94.587291372796059</v>
      </c>
    </row>
    <row r="34" spans="5:6" ht="17" thickBot="1" x14ac:dyDescent="0.25">
      <c r="E34" s="27" t="s">
        <v>42</v>
      </c>
      <c r="F34" s="28">
        <v>0</v>
      </c>
    </row>
  </sheetData>
  <mergeCells count="4">
    <mergeCell ref="E27:F27"/>
    <mergeCell ref="B2:C2"/>
    <mergeCell ref="B10:C10"/>
    <mergeCell ref="B26:C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Master Model</vt:lpstr>
      <vt:lpstr>Test Model</vt:lpstr>
      <vt:lpstr>Model (1 Year)</vt:lpstr>
      <vt:lpstr>Model (3 Year Example)</vt:lpstr>
      <vt:lpstr>Background - Yes</vt:lpstr>
      <vt:lpstr>Background - 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Connor Ambrose</dc:creator>
  <cp:lastModifiedBy>Connor Ambrose</cp:lastModifiedBy>
  <dcterms:created xsi:type="dcterms:W3CDTF">2025-07-28T03:07:08Z</dcterms:created>
  <dcterms:modified xsi:type="dcterms:W3CDTF">2025-08-27T15:44:50Z</dcterms:modified>
</cp:coreProperties>
</file>